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Users\SRIVEROS\Documents\GESTIÓN INTEGRAL DE RIESGOS\MAPAS DE RIESGOS Y OPORTUNIDADES 2025 - PARA PUBLICAR\"/>
    </mc:Choice>
  </mc:AlternateContent>
  <xr:revisionPtr revIDLastSave="0" documentId="13_ncr:1_{D32E491C-590E-4707-8681-743CC6BF0DF9}" xr6:coauthVersionLast="47" xr6:coauthVersionMax="47" xr10:uidLastSave="{00000000-0000-0000-0000-000000000000}"/>
  <workbookProtection workbookAlgorithmName="SHA-512" workbookHashValue="7FV9QrrMqIO04vwe/v/Ng50WvCB4Tev1DW/raL7lBtS7jHKw6EZvdvtENU3vfZTcpapK4NfcXFTnflsZt5i4wg==" workbookSaltValue="KK0yApDrjIkQnbzpqiIBJg==" workbookSpinCount="100000" lockStructure="1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9" i="1" l="1"/>
  <c r="AH29" i="1"/>
  <c r="AF29" i="1"/>
  <c r="AD29" i="1"/>
  <c r="AB29" i="1"/>
  <c r="Y29" i="1"/>
  <c r="AJ18" i="1"/>
  <c r="Y18" i="1"/>
  <c r="Y28" i="1"/>
  <c r="G27" i="1"/>
  <c r="M27" i="1"/>
  <c r="N27" i="1" s="1"/>
  <c r="O27" i="1"/>
  <c r="AN27" i="1" s="1"/>
  <c r="AN28" i="1" s="1"/>
  <c r="P27" i="1"/>
  <c r="Y27" i="1"/>
  <c r="AB27" i="1"/>
  <c r="AD27" i="1"/>
  <c r="AF27" i="1"/>
  <c r="AH27" i="1"/>
  <c r="AJ27" i="1"/>
  <c r="AB28" i="1"/>
  <c r="AD28" i="1"/>
  <c r="AF28" i="1"/>
  <c r="AH28" i="1"/>
  <c r="AJ28" i="1"/>
  <c r="Y25" i="1"/>
  <c r="Y26" i="1"/>
  <c r="AB24" i="1"/>
  <c r="AD24" i="1"/>
  <c r="AF24" i="1"/>
  <c r="AH24" i="1"/>
  <c r="AJ24" i="1"/>
  <c r="AB25" i="1"/>
  <c r="AD25" i="1"/>
  <c r="AF25" i="1"/>
  <c r="AH25" i="1"/>
  <c r="AJ25" i="1"/>
  <c r="AB26" i="1"/>
  <c r="AD26" i="1"/>
  <c r="AF26" i="1"/>
  <c r="AH26" i="1"/>
  <c r="AJ26" i="1"/>
  <c r="Y24" i="1"/>
  <c r="P24" i="1"/>
  <c r="O24" i="1"/>
  <c r="AN24" i="1" s="1"/>
  <c r="AN25" i="1" s="1"/>
  <c r="AN26" i="1" s="1"/>
  <c r="M24" i="1"/>
  <c r="N24" i="1" s="1"/>
  <c r="G24" i="1"/>
  <c r="Y21" i="1"/>
  <c r="Y22" i="1"/>
  <c r="Y23" i="1"/>
  <c r="Y19" i="1"/>
  <c r="Y20" i="1"/>
  <c r="Q24" i="1" l="1"/>
  <c r="AK24" i="1"/>
  <c r="AK25" i="1" s="1"/>
  <c r="AK26" i="1" s="1"/>
  <c r="AL24" i="1" s="1"/>
  <c r="Q27" i="1"/>
  <c r="AO27" i="1"/>
  <c r="AP27" i="1" s="1"/>
  <c r="AK27" i="1"/>
  <c r="AO24" i="1"/>
  <c r="AP24" i="1" s="1"/>
  <c r="Y15" i="1"/>
  <c r="Y17" i="1"/>
  <c r="Y16" i="1"/>
  <c r="AK28" i="1" l="1"/>
  <c r="AK29" i="1" s="1"/>
  <c r="AM24" i="1"/>
  <c r="AQ24" i="1" s="1"/>
  <c r="G15" i="1"/>
  <c r="AL27" i="1" l="1"/>
  <c r="AD15" i="1"/>
  <c r="AD16" i="1"/>
  <c r="AD17" i="1"/>
  <c r="AB15" i="1"/>
  <c r="AB16" i="1"/>
  <c r="AB17" i="1"/>
  <c r="AM27" i="1" l="1"/>
  <c r="AQ27" i="1" s="1"/>
  <c r="G21" i="1"/>
  <c r="G19" i="1" l="1"/>
  <c r="AJ23" i="1" l="1"/>
  <c r="AH23" i="1"/>
  <c r="AF23" i="1"/>
  <c r="AD23" i="1"/>
  <c r="AB23" i="1"/>
  <c r="AJ22" i="1"/>
  <c r="AH22" i="1"/>
  <c r="AF22" i="1"/>
  <c r="AD22" i="1"/>
  <c r="AB22" i="1"/>
  <c r="AJ21" i="1"/>
  <c r="AH21" i="1"/>
  <c r="AF21" i="1"/>
  <c r="AD21" i="1"/>
  <c r="AB21" i="1"/>
  <c r="P21" i="1"/>
  <c r="O21" i="1"/>
  <c r="AN21" i="1" s="1"/>
  <c r="M21" i="1"/>
  <c r="AJ20" i="1"/>
  <c r="AH20" i="1"/>
  <c r="AF20" i="1"/>
  <c r="AD20" i="1"/>
  <c r="AB20" i="1"/>
  <c r="AJ19" i="1"/>
  <c r="AH19" i="1"/>
  <c r="AF19" i="1"/>
  <c r="AD19" i="1"/>
  <c r="AB19" i="1"/>
  <c r="P19" i="1"/>
  <c r="O19" i="1"/>
  <c r="AN19" i="1" s="1"/>
  <c r="AN20" i="1" s="1"/>
  <c r="M19" i="1"/>
  <c r="AN22" i="1" l="1"/>
  <c r="AN23" i="1" s="1"/>
  <c r="N21" i="1"/>
  <c r="Q21" i="1" s="1"/>
  <c r="AK21" i="1"/>
  <c r="AK22" i="1" s="1"/>
  <c r="AK23" i="1" s="1"/>
  <c r="AK19" i="1"/>
  <c r="AK20" i="1" s="1"/>
  <c r="AO19" i="1"/>
  <c r="AP19" i="1" s="1"/>
  <c r="N19" i="1"/>
  <c r="Q19" i="1" s="1"/>
  <c r="AO21" i="1" l="1"/>
  <c r="AP21" i="1" s="1"/>
  <c r="AL21" i="1"/>
  <c r="AM21" i="1" s="1"/>
  <c r="AQ21" i="1" l="1"/>
  <c r="AL19" i="1"/>
  <c r="AJ17" i="1"/>
  <c r="AJ16" i="1"/>
  <c r="AJ15" i="1"/>
  <c r="AH15" i="1"/>
  <c r="AF15" i="1"/>
  <c r="P15" i="1"/>
  <c r="O15" i="1"/>
  <c r="AN15" i="1" s="1"/>
  <c r="AN16" i="1" s="1"/>
  <c r="AN17" i="1" s="1"/>
  <c r="M15" i="1"/>
  <c r="N15" i="1" l="1"/>
  <c r="Q15" i="1" s="1"/>
  <c r="AK15" i="1"/>
  <c r="AM19" i="1"/>
  <c r="AQ19" i="1" s="1"/>
  <c r="AK16" i="1" l="1"/>
  <c r="AK17" i="1" s="1"/>
  <c r="AK18" i="1" s="1"/>
  <c r="AO15" i="1"/>
  <c r="AP15" i="1" s="1"/>
  <c r="AL15" i="1" l="1"/>
  <c r="AM15" i="1" l="1"/>
  <c r="AQ15" i="1" s="1"/>
</calcChain>
</file>

<file path=xl/sharedStrings.xml><?xml version="1.0" encoding="utf-8"?>
<sst xmlns="http://schemas.openxmlformats.org/spreadsheetml/2006/main" count="349" uniqueCount="195">
  <si>
    <t>INSTITUTO DE FINANCIAMIENTO, PROMOCIÓN Y DESARROLLO DE IBAGUÉ - INFIBAGUÉ -</t>
  </si>
  <si>
    <t>CODIGO: FOR-GR-001</t>
  </si>
  <si>
    <t>MAPA DE RIESGOS Y OPORTUNIDADES POR PROCESO</t>
  </si>
  <si>
    <t>Página 1 de 1</t>
  </si>
  <si>
    <t>VERSIÓN: 04</t>
  </si>
  <si>
    <t>Descripción del Riesgo</t>
  </si>
  <si>
    <t xml:space="preserve">Causa(s) Raíz </t>
  </si>
  <si>
    <t>Area(s) de impacto</t>
  </si>
  <si>
    <t>Factor(es) de Riesgo</t>
  </si>
  <si>
    <t>Clasificación del riesgo</t>
  </si>
  <si>
    <t>Responsable</t>
  </si>
  <si>
    <t>Estado</t>
  </si>
  <si>
    <t>Implementación</t>
  </si>
  <si>
    <t>Documentación</t>
  </si>
  <si>
    <t>Frecuencia</t>
  </si>
  <si>
    <t>Evidencia</t>
  </si>
  <si>
    <t>Proceso:</t>
  </si>
  <si>
    <t>Objetivo:</t>
  </si>
  <si>
    <t>No. control</t>
  </si>
  <si>
    <t>Identificación del riesgo</t>
  </si>
  <si>
    <t>Actividad(es) / Punto(s) de Riesgo</t>
  </si>
  <si>
    <t>Zona de riesgo inherente</t>
  </si>
  <si>
    <t>Impacto inherente</t>
  </si>
  <si>
    <t>Probabilidad inherente</t>
  </si>
  <si>
    <t>Frecuencia de la actividad 
(por año)</t>
  </si>
  <si>
    <t>Tipo de control</t>
  </si>
  <si>
    <t>No. Plan de acción</t>
  </si>
  <si>
    <t xml:space="preserve">Fecha implementación </t>
  </si>
  <si>
    <t>Valoración del riesgo</t>
  </si>
  <si>
    <t>Probabilidad residual</t>
  </si>
  <si>
    <t>Impacto residual</t>
  </si>
  <si>
    <t>Zona de riesgo residual</t>
  </si>
  <si>
    <t>Atributos de eficiencia</t>
  </si>
  <si>
    <t>Atributos informativos</t>
  </si>
  <si>
    <t>R1</t>
  </si>
  <si>
    <t>Referencia</t>
  </si>
  <si>
    <t>Cobertura del seguro o la póliza</t>
  </si>
  <si>
    <t>Indicador</t>
  </si>
  <si>
    <t>Resultado</t>
  </si>
  <si>
    <t xml:space="preserve">Denominación </t>
  </si>
  <si>
    <t>Descripción</t>
  </si>
  <si>
    <t>Fecha</t>
  </si>
  <si>
    <t>Acción</t>
  </si>
  <si>
    <t>Complemento</t>
  </si>
  <si>
    <t>Descripcion del control</t>
  </si>
  <si>
    <t>Evidencia(s) y/o soporte(s)</t>
  </si>
  <si>
    <t>Responsable(s)</t>
  </si>
  <si>
    <t>Responsable:</t>
  </si>
  <si>
    <t>Recursos necesarios</t>
  </si>
  <si>
    <t>Plan(es) de tratamiento</t>
  </si>
  <si>
    <t>Riesgo residual</t>
  </si>
  <si>
    <t>Control(es)</t>
  </si>
  <si>
    <t>Opcion(es)</t>
  </si>
  <si>
    <t>EVALUACIÓN DE RIESGO</t>
  </si>
  <si>
    <t>Analisis del riesgo</t>
  </si>
  <si>
    <t>TRATAMIENTO DEL RIESGO</t>
  </si>
  <si>
    <t>Opcion(es) de tratamiento</t>
  </si>
  <si>
    <t>SEGUIMIENTO Y REVISIÓN</t>
  </si>
  <si>
    <t>R2</t>
  </si>
  <si>
    <t>R3</t>
  </si>
  <si>
    <t>Tipo de riesgo</t>
  </si>
  <si>
    <t>Afectación económica y/o reputacional</t>
  </si>
  <si>
    <t>¿Cuenta con seguro o póliza?</t>
  </si>
  <si>
    <t>Oportunidad(es)</t>
  </si>
  <si>
    <t>Causa / Circunstancia inmediata</t>
  </si>
  <si>
    <t>Vigente desde: 2023/05/04</t>
  </si>
  <si>
    <t>Procesos</t>
  </si>
  <si>
    <t>afectación económica y reputacional</t>
  </si>
  <si>
    <t>Gestión</t>
  </si>
  <si>
    <t>Usuarios, productos y prácticas</t>
  </si>
  <si>
    <t>No</t>
  </si>
  <si>
    <t>Preventivo</t>
  </si>
  <si>
    <t>Manual</t>
  </si>
  <si>
    <t>Documentado</t>
  </si>
  <si>
    <t>Continua</t>
  </si>
  <si>
    <t>Con registro</t>
  </si>
  <si>
    <t>Reducir</t>
  </si>
  <si>
    <t>Aleatoria</t>
  </si>
  <si>
    <t>Detectivo</t>
  </si>
  <si>
    <t>Sin documentar</t>
  </si>
  <si>
    <t xml:space="preserve">Humanos, logísticos, papelería, tecnológicos </t>
  </si>
  <si>
    <t xml:space="preserve">ATENCIÓN AL CIUDADANO </t>
  </si>
  <si>
    <t xml:space="preserve">Brindar atención con oportunidad y calidad desarrollando políticas de servicio que permitan satisfacer la demanda de los ciudadanos en trámites, servicios, Peticiones, Quejas, Reclamos y Sugerencias a través de los canales telefónico, virtual y presencial, verificando la percepción de la satisfacción ciudadana frente a la prestación de los mismos.
</t>
  </si>
  <si>
    <t xml:space="preserve">PROFESIONAL UNIVERSITARIO 219-01 DIRECCIÓN ADMINISTRATIVA – GRUPO DE GESTIÓN DOCUMENTAL Y ATENCIÓN AL CIUDADANO
</t>
  </si>
  <si>
    <t xml:space="preserve">inadecuada atención al ciudadano </t>
  </si>
  <si>
    <t xml:space="preserve">acceso de personal no autorizado a las instalacions del instituto  </t>
  </si>
  <si>
    <t xml:space="preserve">Deficiencias en la recepción y atención de las peticiones,  quejas, reclamos y sugerencias (PQRS) de las ciudadanía  y diferentes entidades públicas y privadas  </t>
  </si>
  <si>
    <t xml:space="preserve">1. Capacitación al personal encargado de la atención al ciudadano.
2. Mejoramiento de los sistemas de información y comunicación 
3. Mejoramiento del clima organizacional. </t>
  </si>
  <si>
    <t>Entre 500 a 5000 veces</t>
  </si>
  <si>
    <t>Profesional universitario 219-01 dirección administrativa – grupo de gestión documental y atención al ciudadano</t>
  </si>
  <si>
    <t xml:space="preserve">1) No hacer el debido registro y seguimiento de ingresos de visitantes  a las instalaciones
2) Falta de confirmación de registro de ingreso por parte del personal.
3) Exposición a cambios regulatorios, debido a factores internos o externos que afecten el normal funcionamiento del instituto y/o las dinámicas de este (eventos climáticos y/o atmosféricos, epidemias, pandemias, eventos de orden público, eventos desarrollados de manera interna, terremotos, inundaciones, fallas eléctricas, etc.). </t>
  </si>
  <si>
    <t xml:space="preserve">Deficiencia en niveles de seguridad </t>
  </si>
  <si>
    <t xml:space="preserve">1. Mejoras locativas
2. Implementación de nuevas tecnologías 
3. Competitividad 
4. Edificios inteligentes 
</t>
  </si>
  <si>
    <t xml:space="preserve">Desarticulación de las áreas para la respuesta a los requerimientos de usuarios, grupo de valor y personas interesadas </t>
  </si>
  <si>
    <t>incumplimiento en la respuesta a requerimientos de usuarios, grupos de valor y personas interesadas</t>
  </si>
  <si>
    <t xml:space="preserve">Profesional universitario 219-01 dirección administrativa – grupo de gestión documental y atención al ciudadano, en coordinación con la oficina de comunicaciones </t>
  </si>
  <si>
    <t xml:space="preserve"> para garantizar la actualización permanente de la información  . </t>
  </si>
  <si>
    <t xml:space="preserve">1. Piezas gráficas 
2. Publicaciones en paginas web institucionales </t>
  </si>
  <si>
    <t xml:space="preserve">1. Seguimeinto a través de plataforma de correspondencia 
2. Requerimientos </t>
  </si>
  <si>
    <t xml:space="preserve">, realizará sensibilización a través de piezas gráficas en donde se comunicará a los usuarios los diferentes medios de atención , de manera clara y didactica. </t>
  </si>
  <si>
    <t xml:space="preserve"> para garantizar el acceso claro y de forma amigable a la información</t>
  </si>
  <si>
    <t xml:space="preserve">1. circular informativas 
2. relación de líneas telefónicas de atención </t>
  </si>
  <si>
    <t xml:space="preserve">1. Falta de articulación entre áreas para la recolección de información esencial para las respuestas.
2. Falta de seguimiento y/o de compromiso frente al deber legal de la entidad de atender a los usuarios dentro de los términos establecidos. 
3.   Demoras en la recolección de la información necesaria </t>
  </si>
  <si>
    <t xml:space="preserve">1. Buen  nombre y posicionamiento ante la comunidad. 
2. Certificaciones , fortalecimiento del sistema integrado de gestión
3. Control de procesos </t>
  </si>
  <si>
    <t>con el fin de establecer la pertinencia de la información atendida</t>
  </si>
  <si>
    <t xml:space="preserve"> seguimiento PQRS ventanilla Unica</t>
  </si>
  <si>
    <t>* extractos de plataforma 
* comunicaciones internas y externas</t>
  </si>
  <si>
    <t>para el control de ingreso de usuarios y personal externo a la entidad</t>
  </si>
  <si>
    <t xml:space="preserve">Implementará la comunicación permanente entre vigilantes y funcionarios de los procesos  </t>
  </si>
  <si>
    <t xml:space="preserve">1. Uso de elementos tecnológicos y equipos de radios y telefónicos </t>
  </si>
  <si>
    <t>realizará control semaforizado de los PQRS que se radican a la entidad</t>
  </si>
  <si>
    <t xml:space="preserve">realizará requerimientos periódicos por demoras evidenciadas en los controles de correspondencia efectuados </t>
  </si>
  <si>
    <t xml:space="preserve">, con el fin de llevar control de los tiempos de respuesta </t>
  </si>
  <si>
    <t>N° incidentes reportados /N° de personas ingresadas</t>
  </si>
  <si>
    <t xml:space="preserve">* Plataforma de correspondecia 
* Resúmenes </t>
  </si>
  <si>
    <t xml:space="preserve">* Registros fotográficos
* Registros de asistencia 
* actas de reunión
* comunicaciones internas y/o externas </t>
  </si>
  <si>
    <t xml:space="preserve">Humanos, tecnológicos </t>
  </si>
  <si>
    <t xml:space="preserve">Solicitar a la oficina de control único disciplinario , jornadas de sensibilización sobre los efectos de no tramitar en los tiempos de ley los PQRS que recepciona la entidad. </t>
  </si>
  <si>
    <t xml:space="preserve">Humanos,  papelería, tecnológicos </t>
  </si>
  <si>
    <t>Se solicitará apoyo de la fuerza pública en casos excepcionales</t>
  </si>
  <si>
    <t xml:space="preserve">* registro de llamada
* comunicaciones internas y/o externas 
</t>
  </si>
  <si>
    <t xml:space="preserve">Se realizará sensibilización con los funcionarios sobre los mecanismos autorizados para la atención a personas externas </t>
  </si>
  <si>
    <t xml:space="preserve">* comunicaciones internas 
* mesas de trabajo
* registros de asistencia/ fotográficos </t>
  </si>
  <si>
    <t>Entre 100 y 500 SMLMV o fectación a nivel municipal/departamental</t>
  </si>
  <si>
    <t>Mayor a 500 SMLMV o afectación nacional</t>
  </si>
  <si>
    <t xml:space="preserve"> (total de requerimientos tramitados / total de requerimientos recibidos) * 100</t>
  </si>
  <si>
    <t xml:space="preserve">Dirección Administrativa y su equipo de trabajo </t>
  </si>
  <si>
    <t xml:space="preserve">*Realizará sensibilización en los funcionarios para la divulgación de información de lineas de atención a usuarios, sino para la identificaciones de competencia de la entidad, asginación de responsabilidades por dependencia. 
* Se están realizando acciones desde contro único disciplinario con el fin de requerir a los funcionario que incurran en una presunta omisión de funciones respecto a las respuestas oportunay de fondo, a usuarios de la entidad, grupos de valor, o personas interesadas. </t>
  </si>
  <si>
    <t xml:space="preserve">Dirección Administrativa y su equipo de trabajo en coordinación con control único disciplinario  </t>
  </si>
  <si>
    <t xml:space="preserve">Se verificará que se responda de manera idónea a los requerimientos, haciendo verificaciones aleatorias en plataforma de correspondencia </t>
  </si>
  <si>
    <t xml:space="preserve">Se realizará la publicación de piezas gráficas en plataforma institucional y redes oficinales, para dar a conocer a los usuarios los diferentes canales de atención, las competencias de la entidad , etc. </t>
  </si>
  <si>
    <t xml:space="preserve">* plataforma institucional
* redes sociales oficiales 
* piezas gráficas 
* grupos de trabajo  </t>
  </si>
  <si>
    <t xml:space="preserve">implementará de una herramienta tecnológica  para el registro de personal </t>
  </si>
  <si>
    <t xml:space="preserve">con el fin de verificar ingreso y salida de usuarios, funcionarios y personas externas, a la diferentes áreas de la entidad y sus inmuebles conexos. </t>
  </si>
  <si>
    <t xml:space="preserve">1. Libro y/o planillas de ingreso 
2. implementación de sistema biométrico </t>
  </si>
  <si>
    <t xml:space="preserve">* Registro fotográfico 
*Registros de asistencia 
* comunicaciones internas 
* Llamados de atención 
* capacitaciones de personal de atención a usuarios 
</t>
  </si>
  <si>
    <t xml:space="preserve">Sesibilizaciones, sobre buen trato y humanización en la atención a usuarios. 
Circulares informativas con caneles y aprámetros para la atención de usuarios. </t>
  </si>
  <si>
    <t>Entre 10 y 50 SMLMV o afectación interna</t>
  </si>
  <si>
    <t xml:space="preserve">, a fin de agilizar la respuesta en los términos legalmente establecidos. </t>
  </si>
  <si>
    <t xml:space="preserve">* Comunicaciones internas y/o externas 
* seguimiento mensaules </t>
  </si>
  <si>
    <t xml:space="preserve">realizará mesas de trabajo con el fin de diagnósticar las deficiencias a la horas de producir y recopilar información necesaria para las respuestas a los PQRS </t>
  </si>
  <si>
    <t xml:space="preserve">a fin de establecer rutas críticas para la atención de los mismos. </t>
  </si>
  <si>
    <t>Correctivo</t>
  </si>
  <si>
    <t xml:space="preserve">N° de correspondencia contestada en los términos legales / Total correspondencia recibida  </t>
  </si>
  <si>
    <t xml:space="preserve">Solicitud a la alta gerencia, para la adopción de estrategias que permitan generar consciencia y cultura organizacional sobre la respuesta oportuna a los PQRS que se recepcionan </t>
  </si>
  <si>
    <t xml:space="preserve">* Comunicación interna
* seguimiento y llamados de atención control disciplinario
* código de buen gobierno corporativo  </t>
  </si>
  <si>
    <t xml:space="preserve">Rendir informe a la alta gerencia sobre el diagnósticos en la atención de los PQRS </t>
  </si>
  <si>
    <t xml:space="preserve">* informe enviado </t>
  </si>
  <si>
    <t xml:space="preserve">* Comunicación interna 
* acta mesa de trabajo </t>
  </si>
  <si>
    <t xml:space="preserve">Dirección Administrativa y su equipo de trabajo  / Contro único disciplinario </t>
  </si>
  <si>
    <t>R4</t>
  </si>
  <si>
    <t xml:space="preserve">Perdida de certificación ISO 9001:2015 por incumplimiento de requisitos en percepción del cliente </t>
  </si>
  <si>
    <t>1.   incumplimiento del requisito 10.2.1 en relacion con las quejas o reclamos por el servicio de alumbrado publico; en donde la entidad realizacion acciones correctivas pero no realiza analisis de causas para medidas preventivas.  
2. Incumplimento del requisito 9.1.2 por bajo indicador de nivel de satisfaccion de usuarios debido a las demoras en la ejecucion y respuesta de PQRS.</t>
  </si>
  <si>
    <t xml:space="preserve">incumplimiento de los requisitos 10.2.1 y 9.1.2 en relacion a la atencion de los usuarios </t>
  </si>
  <si>
    <t>Máximo 2 veces</t>
  </si>
  <si>
    <t>manejo inadecuado de plataforma para atencion de los PQRS</t>
  </si>
  <si>
    <t>Talento humano</t>
  </si>
  <si>
    <t>Capacitar al personal en gestion de PQRS y tiempos de respuesta</t>
  </si>
  <si>
    <t xml:space="preserve">con el fin de concientizar a los funcionarios de la responsabilidad de atender </t>
  </si>
  <si>
    <t>enero a diciembre del 2025</t>
  </si>
  <si>
    <t xml:space="preserve">Solicitar a la oficina de control interno de gestion auditorias internas en gestion de Atencion al ciudadano </t>
  </si>
  <si>
    <t xml:space="preserve">con el fin de verificar el cumplimiento en las respuestas de PQRS y los parametros de atencion de los canales </t>
  </si>
  <si>
    <t>Solicitar a la oficina de control disciplinario acompañamiento en la revision del incumplimiento de las funciones de atencion al ciudadano</t>
  </si>
  <si>
    <t xml:space="preserve">para garantizar el debido proceso </t>
  </si>
  <si>
    <t>Solicitud  a gestion humana del desarrollo de capacitciones en temas de atencion al ciudadadno y de redaccion de respuestas</t>
  </si>
  <si>
    <t>* Comunicación interna
*Registros de asistencia</t>
  </si>
  <si>
    <t>R5</t>
  </si>
  <si>
    <t>Inadecuado cierre de PQRS en plataforma</t>
  </si>
  <si>
    <t>1.   se ha evidenciado el cierre de PQRSD sin estar ejecutados a satisfaccion.  
2. se reciben quejas de PQRS en plataforma ejecutados y según los usuarios no han sido solucionados.</t>
  </si>
  <si>
    <t>Corrupción</t>
  </si>
  <si>
    <t>Fraude interno</t>
  </si>
  <si>
    <t>Entre 3 a 24 veces</t>
  </si>
  <si>
    <t>Entre 50 y 100 SMLMV o afectación con algunos usuarios</t>
  </si>
  <si>
    <t>Evitar</t>
  </si>
  <si>
    <t>Si</t>
  </si>
  <si>
    <t xml:space="preserve">Sensibilizar al personal con respecto del manejo de la plataforma y de la imporancia de dar respuesta oportuna a los pqrsd </t>
  </si>
  <si>
    <t xml:space="preserve">con el fin de concientizar a los funcionarios de la responsabilidad  </t>
  </si>
  <si>
    <t xml:space="preserve">con el fin de verificar la responsabilidad de cada funcionario y dependencia </t>
  </si>
  <si>
    <t xml:space="preserve">Solicitar a la oficina de control disciplinario la revision de los casos en donde se evidencie cierre de PQRS sin ejecucion </t>
  </si>
  <si>
    <t xml:space="preserve">Realizar proceso de sensibilizacion con cada dependencia en compañia de la secretaria general para concientizar sobre las consecuencias legales a cada dependencia </t>
  </si>
  <si>
    <t>Dirección Administrativa y su equipo de trabajo  / Secretaria General</t>
  </si>
  <si>
    <t xml:space="preserve">Rendir informe de cada caso que se evidencia cierre sin  ejecucion </t>
  </si>
  <si>
    <t xml:space="preserve">1) Falta de disposición de los colaboradores del instituto  con respecto al ciudadano
2) Falta de claridad en la comunicación externa y/o  respuestas brindadas
3) Incumplimiento en los términos de respuesta 
4) Recursos digitales no amigables con la ciudadanía (pagina web)
5) Desconocimiento o falta de manejo del software de correspondencia
6) Exposición a cambios regulatorios, debido a factores internos o externos que afecten el normal funcionamiento del instituto y/o las dinámicas de este (eventos climáticos y/o atmosféricos, epidemias, pandemias, eventos de orden público, eventos desarrollados de manera interna, terremotos, inundaciones, fallas eléctricas, etc.).                                    7)Inadecuada asignacion del responsable </t>
  </si>
  <si>
    <t>Realizar capacitacion de la competencia y labore de cada una de las areas de l instituto</t>
  </si>
  <si>
    <t>para garantizar la asginacion del responsable correcta</t>
  </si>
  <si>
    <t xml:space="preserve">Se verificara que la asignacion de correspondencia sea de la competencia del responsable </t>
  </si>
  <si>
    <t xml:space="preserve">Cumplimiento del 100% de los requisitos en los numerales 9.1.2 y 10.2.1  </t>
  </si>
  <si>
    <t>Solicitar a la oficina de control interno de gestion auditoria interna de atencion al ciudadano enfocado en la gestion de pqrs de conformidad con los resultados del informe de pqrs</t>
  </si>
  <si>
    <t xml:space="preserve">Hacer entrega a la oficina de control disciplinario de los informes con las falencias en atencion o fallas en la gestion de pqrs </t>
  </si>
  <si>
    <t xml:space="preserve">Con el fin de garantizar el cierre correcto de cada pqr </t>
  </si>
  <si>
    <t xml:space="preserve">Evidencia plataforma </t>
  </si>
  <si>
    <t>cero pqr cerrados incompletos</t>
  </si>
  <si>
    <t xml:space="preserve">verificacion aleatoria de lo pqrsd cerrados incompletos, a traves de muestras </t>
  </si>
  <si>
    <t xml:space="preserve">Realizar informe de la muestra </t>
  </si>
  <si>
    <t>Mayo a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</si>
</sst>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6" fillId="0" borderId="0" xfId="0" applyFont="1"/>
    <xf numFmtId="0" fontId="2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0" fillId="3" borderId="0" xfId="0" applyFill="1"/>
    <xf numFmtId="0" fontId="6" fillId="3" borderId="0" xfId="0" applyFont="1" applyFill="1"/>
    <xf numFmtId="0" fontId="10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textRotation="90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9" fillId="4" borderId="8" xfId="0" applyFont="1" applyFill="1" applyBorder="1" applyAlignment="1" applyProtection="1">
      <alignment horizontal="center" vertical="center" textRotation="90" wrapText="1"/>
      <protection hidden="1"/>
    </xf>
    <xf numFmtId="0" fontId="9" fillId="4" borderId="9" xfId="0" applyFont="1" applyFill="1" applyBorder="1" applyAlignment="1" applyProtection="1">
      <alignment horizontal="center" vertical="center" textRotation="90" wrapText="1"/>
      <protection hidden="1"/>
    </xf>
    <xf numFmtId="0" fontId="9" fillId="4" borderId="9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textRotation="90" wrapText="1"/>
      <protection locked="0"/>
    </xf>
    <xf numFmtId="9" fontId="6" fillId="5" borderId="5" xfId="1" applyFont="1" applyFill="1" applyBorder="1" applyAlignment="1" applyProtection="1">
      <alignment horizontal="center" vertical="center" wrapText="1"/>
      <protection hidden="1"/>
    </xf>
    <xf numFmtId="9" fontId="6" fillId="5" borderId="5" xfId="1" applyFont="1" applyFill="1" applyBorder="1" applyAlignment="1" applyProtection="1">
      <alignment horizontal="center" vertical="center" wrapText="1"/>
      <protection locked="0"/>
    </xf>
    <xf numFmtId="9" fontId="6" fillId="5" borderId="5" xfId="1" applyFont="1" applyFill="1" applyBorder="1" applyAlignment="1" applyProtection="1">
      <alignment horizontal="center" vertical="center" wrapText="1"/>
    </xf>
    <xf numFmtId="0" fontId="6" fillId="5" borderId="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textRotation="90" wrapText="1"/>
      <protection locked="0"/>
    </xf>
    <xf numFmtId="9" fontId="6" fillId="5" borderId="1" xfId="1" applyFont="1" applyFill="1" applyBorder="1" applyAlignment="1" applyProtection="1">
      <alignment horizontal="center" vertical="center" wrapText="1"/>
      <protection hidden="1"/>
    </xf>
    <xf numFmtId="9" fontId="6" fillId="5" borderId="1" xfId="1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center" vertical="center" textRotation="90" wrapText="1"/>
      <protection locked="0"/>
    </xf>
    <xf numFmtId="9" fontId="6" fillId="5" borderId="8" xfId="1" applyFont="1" applyFill="1" applyBorder="1" applyAlignment="1" applyProtection="1">
      <alignment horizontal="center" vertical="center" wrapText="1"/>
      <protection hidden="1"/>
    </xf>
    <xf numFmtId="9" fontId="6" fillId="5" borderId="8" xfId="1" applyFont="1" applyFill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17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17" fontId="6" fillId="0" borderId="5" xfId="0" applyNumberFormat="1" applyFont="1" applyBorder="1" applyAlignment="1" applyProtection="1">
      <alignment vertical="center"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0" fontId="6" fillId="0" borderId="22" xfId="0" applyFont="1" applyBorder="1" applyAlignment="1" applyProtection="1">
      <alignment vertical="center" wrapText="1"/>
      <protection locked="0"/>
    </xf>
    <xf numFmtId="0" fontId="6" fillId="0" borderId="9" xfId="0" applyFont="1" applyBorder="1" applyAlignment="1" applyProtection="1">
      <alignment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5" borderId="3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9" fillId="4" borderId="3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9" fontId="6" fillId="5" borderId="5" xfId="1" applyFont="1" applyFill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vertical="center" wrapText="1"/>
      <protection locked="0"/>
    </xf>
    <xf numFmtId="17" fontId="6" fillId="0" borderId="20" xfId="0" applyNumberFormat="1" applyFont="1" applyBorder="1" applyAlignment="1" applyProtection="1">
      <alignment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7" fillId="5" borderId="3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9" fontId="6" fillId="5" borderId="3" xfId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9" fontId="6" fillId="0" borderId="3" xfId="1" applyFont="1" applyBorder="1" applyAlignment="1" applyProtection="1">
      <alignment horizontal="center" vertical="center" wrapText="1"/>
    </xf>
    <xf numFmtId="9" fontId="6" fillId="0" borderId="3" xfId="1" applyFont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textRotation="90" wrapText="1"/>
      <protection locked="0"/>
    </xf>
    <xf numFmtId="9" fontId="6" fillId="5" borderId="3" xfId="1" applyFont="1" applyFill="1" applyBorder="1" applyAlignment="1" applyProtection="1">
      <alignment horizontal="center" vertical="center" wrapText="1"/>
      <protection hidden="1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9" fontId="6" fillId="5" borderId="1" xfId="1" applyFont="1" applyFill="1" applyBorder="1" applyAlignment="1" applyProtection="1">
      <alignment horizontal="center" vertical="center" wrapText="1"/>
    </xf>
    <xf numFmtId="9" fontId="6" fillId="5" borderId="20" xfId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0" fontId="7" fillId="5" borderId="4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9" fontId="6" fillId="5" borderId="1" xfId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6" fillId="0" borderId="1" xfId="1" applyFont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32" xfId="0" applyFont="1" applyFill="1" applyBorder="1" applyAlignment="1" applyProtection="1">
      <alignment horizontal="center" vertical="center" wrapText="1"/>
      <protection locked="0"/>
    </xf>
    <xf numFmtId="9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9" fontId="6" fillId="5" borderId="5" xfId="1" applyFont="1" applyFill="1" applyBorder="1" applyAlignment="1" applyProtection="1">
      <alignment horizontal="center" vertical="center" wrapText="1"/>
    </xf>
    <xf numFmtId="9" fontId="6" fillId="5" borderId="8" xfId="1" applyFont="1" applyFill="1" applyBorder="1" applyAlignment="1" applyProtection="1">
      <alignment horizontal="center" vertical="center" wrapText="1"/>
    </xf>
    <xf numFmtId="9" fontId="6" fillId="5" borderId="32" xfId="1" applyFont="1" applyFill="1" applyBorder="1" applyAlignment="1" applyProtection="1">
      <alignment horizontal="center" vertical="center" wrapText="1"/>
    </xf>
    <xf numFmtId="9" fontId="6" fillId="0" borderId="5" xfId="1" applyFont="1" applyBorder="1" applyAlignment="1" applyProtection="1">
      <alignment horizontal="center" vertical="center" wrapText="1"/>
    </xf>
    <xf numFmtId="9" fontId="6" fillId="0" borderId="32" xfId="1" applyFont="1" applyBorder="1" applyAlignment="1" applyProtection="1">
      <alignment horizontal="center" vertical="center" wrapText="1"/>
    </xf>
    <xf numFmtId="9" fontId="6" fillId="0" borderId="5" xfId="1" applyFont="1" applyBorder="1" applyAlignment="1" applyProtection="1">
      <alignment horizontal="center" vertical="center" wrapText="1"/>
      <protection locked="0"/>
    </xf>
    <xf numFmtId="9" fontId="6" fillId="0" borderId="1" xfId="1" applyFont="1" applyBorder="1" applyAlignment="1" applyProtection="1">
      <alignment horizontal="center" vertical="center" wrapText="1"/>
      <protection locked="0"/>
    </xf>
    <xf numFmtId="9" fontId="6" fillId="0" borderId="32" xfId="1" applyFont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9" fontId="6" fillId="0" borderId="8" xfId="1" applyFont="1" applyBorder="1" applyAlignment="1" applyProtection="1">
      <alignment horizontal="center" vertical="center" wrapText="1"/>
      <protection locked="0"/>
    </xf>
    <xf numFmtId="9" fontId="6" fillId="0" borderId="8" xfId="1" applyFont="1" applyBorder="1" applyAlignment="1" applyProtection="1">
      <alignment horizontal="center" vertical="center" wrapText="1"/>
    </xf>
    <xf numFmtId="9" fontId="6" fillId="5" borderId="20" xfId="1" applyFont="1" applyFill="1" applyBorder="1" applyAlignment="1" applyProtection="1">
      <alignment horizontal="center" vertical="center" wrapText="1"/>
    </xf>
    <xf numFmtId="9" fontId="6" fillId="5" borderId="3" xfId="1" applyFont="1" applyFill="1" applyBorder="1" applyAlignment="1" applyProtection="1">
      <alignment horizontal="center" vertical="center" wrapText="1"/>
    </xf>
    <xf numFmtId="9" fontId="6" fillId="5" borderId="23" xfId="1" applyFont="1" applyFill="1" applyBorder="1" applyAlignment="1" applyProtection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2" fillId="4" borderId="0" xfId="0" applyFont="1" applyFill="1" applyAlignment="1" applyProtection="1">
      <alignment horizontal="left" vertical="center" wrapText="1"/>
      <protection locked="0"/>
    </xf>
    <xf numFmtId="0" fontId="9" fillId="4" borderId="0" xfId="0" applyFont="1" applyFill="1" applyAlignment="1" applyProtection="1">
      <alignment horizontal="left" vertical="center" wrapText="1"/>
      <protection locked="0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9" fontId="6" fillId="0" borderId="20" xfId="1" applyFont="1" applyBorder="1" applyAlignment="1" applyProtection="1">
      <alignment horizontal="center" vertical="center" wrapText="1"/>
    </xf>
    <xf numFmtId="9" fontId="6" fillId="0" borderId="3" xfId="1" applyFont="1" applyBorder="1" applyAlignment="1" applyProtection="1">
      <alignment horizontal="center" vertical="center" wrapText="1"/>
    </xf>
    <xf numFmtId="9" fontId="6" fillId="0" borderId="23" xfId="1" applyFont="1" applyBorder="1" applyAlignment="1" applyProtection="1">
      <alignment horizontal="center" vertical="center" wrapText="1"/>
    </xf>
    <xf numFmtId="9" fontId="6" fillId="0" borderId="20" xfId="0" applyNumberFormat="1" applyFont="1" applyBorder="1" applyAlignment="1" applyProtection="1">
      <alignment horizontal="center" vertical="center" wrapText="1"/>
      <protection locked="0"/>
    </xf>
    <xf numFmtId="9" fontId="6" fillId="0" borderId="3" xfId="0" applyNumberFormat="1" applyFont="1" applyBorder="1" applyAlignment="1" applyProtection="1">
      <alignment horizontal="center" vertical="center" wrapText="1"/>
      <protection locked="0"/>
    </xf>
    <xf numFmtId="9" fontId="6" fillId="0" borderId="23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/>
    </xf>
    <xf numFmtId="0" fontId="10" fillId="6" borderId="20" xfId="0" applyFont="1" applyFill="1" applyBorder="1" applyAlignment="1">
      <alignment horizontal="center"/>
    </xf>
    <xf numFmtId="0" fontId="10" fillId="6" borderId="28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73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523876</xdr:colOff>
      <xdr:row>0</xdr:row>
      <xdr:rowOff>76200</xdr:rowOff>
    </xdr:from>
    <xdr:to>
      <xdr:col>3</xdr:col>
      <xdr:colOff>523875</xdr:colOff>
      <xdr:row>3</xdr:row>
      <xdr:rowOff>166727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6" y="76200"/>
          <a:ext cx="3333749" cy="1281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9"/>
  <sheetViews>
    <sheetView tabSelected="1" topLeftCell="AS14" zoomScale="70" zoomScaleNormal="70" workbookViewId="0">
      <selection activeCell="AZ9" sqref="AZ1:BB1048576"/>
    </sheetView>
  </sheetViews>
  <sheetFormatPr baseColWidth="10" defaultColWidth="10.85546875" defaultRowHeight="14.25" x14ac:dyDescent="0.2"/>
  <cols>
    <col min="1" max="1" width="10.85546875" style="1" customWidth="1"/>
    <col min="2" max="2" width="20.5703125" style="1" customWidth="1"/>
    <col min="3" max="3" width="16.28515625" style="1" customWidth="1"/>
    <col min="4" max="4" width="16.140625" style="1" customWidth="1"/>
    <col min="5" max="5" width="19" style="1" customWidth="1"/>
    <col min="6" max="6" width="39.5703125" style="1" customWidth="1"/>
    <col min="7" max="7" width="59.140625" style="1" customWidth="1"/>
    <col min="8" max="8" width="35.42578125" style="1" customWidth="1"/>
    <col min="9" max="9" width="25.42578125" style="1" customWidth="1"/>
    <col min="10" max="10" width="19.42578125" style="1" customWidth="1"/>
    <col min="11" max="11" width="23" style="1" customWidth="1"/>
    <col min="12" max="12" width="24" style="1" customWidth="1"/>
    <col min="13" max="13" width="11.140625" style="1" customWidth="1"/>
    <col min="14" max="14" width="11.5703125" style="1" customWidth="1"/>
    <col min="15" max="15" width="11.140625" style="1" customWidth="1"/>
    <col min="16" max="16" width="11.5703125" style="1" customWidth="1"/>
    <col min="17" max="17" width="45.140625" style="1" customWidth="1"/>
    <col min="18" max="18" width="16.140625" style="1" customWidth="1"/>
    <col min="19" max="19" width="14.5703125" style="1" customWidth="1"/>
    <col min="20" max="20" width="16.5703125" style="1" customWidth="1"/>
    <col min="21" max="21" width="10.85546875" style="1" customWidth="1"/>
    <col min="22" max="22" width="29.140625" style="1" customWidth="1"/>
    <col min="23" max="23" width="34.28515625" style="1" customWidth="1"/>
    <col min="24" max="24" width="30.140625" style="1" customWidth="1"/>
    <col min="25" max="25" width="49.7109375" style="1" customWidth="1"/>
    <col min="26" max="26" width="35.42578125" style="1" customWidth="1"/>
    <col min="27" max="27" width="9.5703125" style="1" customWidth="1"/>
    <col min="28" max="28" width="9.5703125" style="1" hidden="1" customWidth="1"/>
    <col min="29" max="29" width="9.5703125" style="1" customWidth="1"/>
    <col min="30" max="30" width="9.5703125" style="1" hidden="1" customWidth="1"/>
    <col min="31" max="31" width="9.5703125" style="1" customWidth="1"/>
    <col min="32" max="32" width="9.5703125" style="1" hidden="1" customWidth="1"/>
    <col min="33" max="33" width="9.5703125" style="1" customWidth="1"/>
    <col min="34" max="34" width="9.5703125" style="1" hidden="1" customWidth="1"/>
    <col min="35" max="35" width="9.5703125" style="1" customWidth="1"/>
    <col min="36" max="36" width="5.140625" style="1" customWidth="1"/>
    <col min="37" max="37" width="10.85546875" style="1" customWidth="1"/>
    <col min="38" max="38" width="11.140625" style="1" customWidth="1"/>
    <col min="39" max="39" width="10.85546875" style="1"/>
    <col min="40" max="40" width="10.85546875" style="1" hidden="1" customWidth="1"/>
    <col min="41" max="41" width="11.140625" style="1" customWidth="1"/>
    <col min="42" max="42" width="24.42578125" style="1" customWidth="1"/>
    <col min="43" max="43" width="24.28515625" style="1" customWidth="1"/>
    <col min="44" max="44" width="19.85546875" style="1" customWidth="1"/>
    <col min="45" max="45" width="20.28515625" style="1" customWidth="1"/>
    <col min="46" max="46" width="10.85546875" style="1" customWidth="1"/>
    <col min="47" max="47" width="45.140625" style="1" customWidth="1"/>
    <col min="48" max="48" width="18.5703125" style="1" customWidth="1"/>
    <col min="49" max="49" width="21.140625" style="1" customWidth="1"/>
    <col min="50" max="50" width="27.7109375" style="1" customWidth="1"/>
    <col min="51" max="51" width="20.7109375" style="1" customWidth="1"/>
    <col min="52" max="52" width="20.28515625" style="1" customWidth="1"/>
    <col min="53" max="53" width="20.42578125" style="1" customWidth="1"/>
    <col min="54" max="54" width="16.28515625" style="1" bestFit="1" customWidth="1"/>
    <col min="55" max="55" width="47.5703125" style="1" customWidth="1"/>
    <col min="56" max="16384" width="10.85546875" style="1"/>
  </cols>
  <sheetData>
    <row r="1" spans="1:56" customFormat="1" ht="31.5" customHeight="1" x14ac:dyDescent="0.25">
      <c r="A1" s="180"/>
      <c r="B1" s="180"/>
      <c r="C1" s="180"/>
      <c r="D1" s="180"/>
      <c r="E1" s="148" t="s">
        <v>0</v>
      </c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50"/>
      <c r="BC1" s="43" t="s">
        <v>1</v>
      </c>
      <c r="BD1" s="1"/>
    </row>
    <row r="2" spans="1:56" customFormat="1" ht="31.5" customHeight="1" x14ac:dyDescent="0.25">
      <c r="A2" s="180"/>
      <c r="B2" s="180"/>
      <c r="C2" s="180"/>
      <c r="D2" s="180"/>
      <c r="E2" s="151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  <c r="AT2" s="152"/>
      <c r="AU2" s="152"/>
      <c r="AV2" s="152"/>
      <c r="AW2" s="152"/>
      <c r="AX2" s="152"/>
      <c r="AY2" s="152"/>
      <c r="AZ2" s="152"/>
      <c r="BA2" s="152"/>
      <c r="BB2" s="153"/>
      <c r="BC2" s="44" t="s">
        <v>4</v>
      </c>
      <c r="BD2" s="1"/>
    </row>
    <row r="3" spans="1:56" customFormat="1" ht="31.5" customHeight="1" x14ac:dyDescent="0.25">
      <c r="A3" s="180"/>
      <c r="B3" s="180"/>
      <c r="C3" s="180"/>
      <c r="D3" s="180"/>
      <c r="E3" s="154" t="s">
        <v>2</v>
      </c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6"/>
      <c r="BC3" s="45" t="s">
        <v>65</v>
      </c>
      <c r="BD3" s="1"/>
    </row>
    <row r="4" spans="1:56" customFormat="1" ht="31.5" customHeight="1" x14ac:dyDescent="0.25">
      <c r="A4" s="180"/>
      <c r="B4" s="180"/>
      <c r="C4" s="180"/>
      <c r="D4" s="180"/>
      <c r="E4" s="157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9"/>
      <c r="BC4" s="44" t="s">
        <v>3</v>
      </c>
      <c r="BD4" s="1"/>
    </row>
    <row r="5" spans="1:56" s="5" customFormat="1" ht="9.6" customHeight="1" x14ac:dyDescent="0.35">
      <c r="A5" s="2"/>
      <c r="B5" s="2"/>
      <c r="C5" s="2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4"/>
    </row>
    <row r="6" spans="1:56" ht="23.1" customHeight="1" x14ac:dyDescent="0.2">
      <c r="A6" s="134" t="s">
        <v>16</v>
      </c>
      <c r="B6" s="134"/>
      <c r="C6" s="134"/>
      <c r="D6" s="162" t="s">
        <v>81</v>
      </c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7"/>
    </row>
    <row r="7" spans="1:56" s="6" customFormat="1" ht="9.6" customHeight="1" x14ac:dyDescent="0.35">
      <c r="B7" s="7"/>
      <c r="C7" s="7"/>
      <c r="D7" s="2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4"/>
    </row>
    <row r="8" spans="1:56" ht="63.75" customHeight="1" x14ac:dyDescent="0.2">
      <c r="A8" s="134" t="s">
        <v>17</v>
      </c>
      <c r="B8" s="134"/>
      <c r="C8" s="134"/>
      <c r="D8" s="162" t="s">
        <v>82</v>
      </c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7"/>
    </row>
    <row r="9" spans="1:56" s="6" customFormat="1" ht="9.6" customHeight="1" x14ac:dyDescent="0.35">
      <c r="B9" s="7"/>
      <c r="C9" s="7"/>
      <c r="D9" s="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4"/>
    </row>
    <row r="10" spans="1:56" ht="38.25" customHeight="1" x14ac:dyDescent="0.2">
      <c r="A10" s="134" t="s">
        <v>47</v>
      </c>
      <c r="B10" s="134"/>
      <c r="C10" s="134"/>
      <c r="D10" s="163" t="s">
        <v>83</v>
      </c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7"/>
    </row>
    <row r="11" spans="1:56" s="6" customFormat="1" ht="9.6" customHeight="1" thickBot="1" x14ac:dyDescent="0.4">
      <c r="B11" s="2"/>
      <c r="C11" s="2"/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4"/>
    </row>
    <row r="12" spans="1:56" s="10" customFormat="1" ht="18.75" thickBot="1" x14ac:dyDescent="0.3">
      <c r="A12" s="183" t="s">
        <v>53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5"/>
      <c r="R12" s="189" t="s">
        <v>55</v>
      </c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1"/>
      <c r="BA12" s="164" t="s">
        <v>57</v>
      </c>
      <c r="BB12" s="165"/>
      <c r="BC12" s="166"/>
      <c r="BD12" s="9"/>
    </row>
    <row r="13" spans="1:56" s="21" customFormat="1" ht="42" customHeight="1" x14ac:dyDescent="0.25">
      <c r="A13" s="167" t="s">
        <v>19</v>
      </c>
      <c r="B13" s="168"/>
      <c r="C13" s="168"/>
      <c r="D13" s="168"/>
      <c r="E13" s="168"/>
      <c r="F13" s="168"/>
      <c r="G13" s="169"/>
      <c r="H13" s="167" t="s">
        <v>54</v>
      </c>
      <c r="I13" s="168"/>
      <c r="J13" s="168"/>
      <c r="K13" s="168"/>
      <c r="L13" s="169"/>
      <c r="M13" s="167" t="s">
        <v>28</v>
      </c>
      <c r="N13" s="168"/>
      <c r="O13" s="168"/>
      <c r="P13" s="168"/>
      <c r="Q13" s="169"/>
      <c r="R13" s="167" t="s">
        <v>56</v>
      </c>
      <c r="S13" s="168"/>
      <c r="T13" s="169"/>
      <c r="U13" s="167" t="s">
        <v>51</v>
      </c>
      <c r="V13" s="168"/>
      <c r="W13" s="168"/>
      <c r="X13" s="168"/>
      <c r="Y13" s="168"/>
      <c r="Z13" s="169"/>
      <c r="AA13" s="170" t="s">
        <v>32</v>
      </c>
      <c r="AB13" s="186"/>
      <c r="AC13" s="186"/>
      <c r="AD13" s="171"/>
      <c r="AE13" s="170" t="s">
        <v>33</v>
      </c>
      <c r="AF13" s="186"/>
      <c r="AG13" s="186"/>
      <c r="AH13" s="186"/>
      <c r="AI13" s="186"/>
      <c r="AJ13" s="171"/>
      <c r="AK13" s="167" t="s">
        <v>50</v>
      </c>
      <c r="AL13" s="168"/>
      <c r="AM13" s="168"/>
      <c r="AN13" s="168"/>
      <c r="AO13" s="168"/>
      <c r="AP13" s="168"/>
      <c r="AQ13" s="169"/>
      <c r="AR13" s="170" t="s">
        <v>37</v>
      </c>
      <c r="AS13" s="171"/>
      <c r="AT13" s="170" t="s">
        <v>49</v>
      </c>
      <c r="AU13" s="186"/>
      <c r="AV13" s="186"/>
      <c r="AW13" s="186"/>
      <c r="AX13" s="186"/>
      <c r="AY13" s="186"/>
      <c r="AZ13" s="171"/>
      <c r="BA13" s="172" t="s">
        <v>10</v>
      </c>
      <c r="BB13" s="181" t="s">
        <v>41</v>
      </c>
      <c r="BC13" s="160" t="s">
        <v>40</v>
      </c>
      <c r="BD13" s="11"/>
    </row>
    <row r="14" spans="1:56" customFormat="1" ht="46.5" thickBot="1" x14ac:dyDescent="0.3">
      <c r="A14" s="12" t="s">
        <v>35</v>
      </c>
      <c r="B14" s="13" t="s">
        <v>20</v>
      </c>
      <c r="C14" s="13" t="s">
        <v>8</v>
      </c>
      <c r="D14" s="13" t="s">
        <v>7</v>
      </c>
      <c r="E14" s="13" t="s">
        <v>64</v>
      </c>
      <c r="F14" s="13" t="s">
        <v>6</v>
      </c>
      <c r="G14" s="14" t="s">
        <v>5</v>
      </c>
      <c r="H14" s="15" t="s">
        <v>63</v>
      </c>
      <c r="I14" s="13" t="s">
        <v>60</v>
      </c>
      <c r="J14" s="13" t="s">
        <v>9</v>
      </c>
      <c r="K14" s="13" t="s">
        <v>24</v>
      </c>
      <c r="L14" s="14" t="s">
        <v>61</v>
      </c>
      <c r="M14" s="187" t="s">
        <v>23</v>
      </c>
      <c r="N14" s="188"/>
      <c r="O14" s="188" t="s">
        <v>22</v>
      </c>
      <c r="P14" s="188"/>
      <c r="Q14" s="14" t="s">
        <v>21</v>
      </c>
      <c r="R14" s="15" t="s">
        <v>52</v>
      </c>
      <c r="S14" s="13" t="s">
        <v>62</v>
      </c>
      <c r="T14" s="14" t="s">
        <v>36</v>
      </c>
      <c r="U14" s="12" t="s">
        <v>18</v>
      </c>
      <c r="V14" s="55" t="s">
        <v>10</v>
      </c>
      <c r="W14" s="13" t="s">
        <v>42</v>
      </c>
      <c r="X14" s="13" t="s">
        <v>43</v>
      </c>
      <c r="Y14" s="13" t="s">
        <v>44</v>
      </c>
      <c r="Z14" s="14" t="s">
        <v>45</v>
      </c>
      <c r="AA14" s="12" t="s">
        <v>25</v>
      </c>
      <c r="AB14" s="18"/>
      <c r="AC14" s="16" t="s">
        <v>12</v>
      </c>
      <c r="AD14" s="19"/>
      <c r="AE14" s="12" t="s">
        <v>13</v>
      </c>
      <c r="AF14" s="18"/>
      <c r="AG14" s="16" t="s">
        <v>14</v>
      </c>
      <c r="AH14" s="18"/>
      <c r="AI14" s="16" t="s">
        <v>15</v>
      </c>
      <c r="AJ14" s="20"/>
      <c r="AK14" s="15"/>
      <c r="AL14" s="188" t="s">
        <v>29</v>
      </c>
      <c r="AM14" s="188"/>
      <c r="AN14" s="13"/>
      <c r="AO14" s="188" t="s">
        <v>30</v>
      </c>
      <c r="AP14" s="188"/>
      <c r="AQ14" s="14" t="s">
        <v>31</v>
      </c>
      <c r="AR14" s="15" t="s">
        <v>39</v>
      </c>
      <c r="AS14" s="14" t="s">
        <v>38</v>
      </c>
      <c r="AT14" s="12" t="s">
        <v>26</v>
      </c>
      <c r="AU14" s="55" t="s">
        <v>40</v>
      </c>
      <c r="AV14" s="55" t="s">
        <v>48</v>
      </c>
      <c r="AW14" s="55" t="s">
        <v>27</v>
      </c>
      <c r="AX14" s="55" t="s">
        <v>45</v>
      </c>
      <c r="AY14" s="55" t="s">
        <v>46</v>
      </c>
      <c r="AZ14" s="14" t="s">
        <v>11</v>
      </c>
      <c r="BA14" s="173"/>
      <c r="BB14" s="182"/>
      <c r="BC14" s="161"/>
    </row>
    <row r="15" spans="1:56" s="32" customFormat="1" ht="186" customHeight="1" thickBot="1" x14ac:dyDescent="0.3">
      <c r="A15" s="106" t="s">
        <v>34</v>
      </c>
      <c r="B15" s="145" t="s">
        <v>86</v>
      </c>
      <c r="C15" s="145" t="s">
        <v>66</v>
      </c>
      <c r="D15" s="145" t="s">
        <v>67</v>
      </c>
      <c r="E15" s="145" t="s">
        <v>84</v>
      </c>
      <c r="F15" s="145" t="s">
        <v>182</v>
      </c>
      <c r="G15" s="192" t="str">
        <f>+IF(OR(D15&lt;&gt;"",E15&lt;&gt;"",F15&lt;&gt;""),CONCATENATE("Posibilidad de ",D15," por ",E15,"debido a que ",F15),"")</f>
        <v xml:space="preserve">Posibilidad de afectación económica y reputacional por inadecuada atención al ciudadano debido a que 1) Falta de disposición de los colaboradores del instituto  con respecto al ciudadano
2) Falta de claridad en la comunicación externa y/o  respuestas brindadas
3) Incumplimiento en los términos de respuesta 
4) Recursos digitales no amigables con la ciudadanía (pagina web)
5) Desconocimiento o falta de manejo del software de correspondencia
6) Exposición a cambios regulatorios, debido a factores internos o externos que afecten el normal funcionamiento del instituto y/o las dinámicas de este (eventos climáticos y/o atmosféricos, epidemias, pandemias, eventos de orden público, eventos desarrollados de manera interna, terremotos, inundaciones, fallas eléctricas, etc.).                                    7)Inadecuada asignacion del responsable </v>
      </c>
      <c r="H15" s="120" t="s">
        <v>87</v>
      </c>
      <c r="I15" s="116" t="s">
        <v>68</v>
      </c>
      <c r="J15" s="116" t="s">
        <v>69</v>
      </c>
      <c r="K15" s="116" t="s">
        <v>88</v>
      </c>
      <c r="L15" s="116" t="s">
        <v>137</v>
      </c>
      <c r="M15" s="126">
        <f>+IF(K15="Máximo 2 veces",0.2,IF(K15="Entre 3 a 24 veces",0.4,IF(K15="Entre 24 a 500 veces",0.6,IF(K15="Entre 500 a 5000 veces",0.8,IF(K15="Mas de 5000 veces",1,"")))))</f>
        <v>0.8</v>
      </c>
      <c r="N15" s="118" t="str">
        <f>+IF(M15="","",IF(M15&gt;0.8,"Muy Alta",IF(AND(M15&lt;=0.8,M15&gt;0.6),"Alta",IF(AND(M15&lt;=0.6,M15&gt;0.4),"Media",IF(AND(M15&lt;=0.4,M15&gt;0.2),"Baja","Muy Baja")))))</f>
        <v>Alta</v>
      </c>
      <c r="O15" s="126">
        <f>+IF(L15="Menor a 10 SMLMV o afectación a un área/proceso",0.2,IF(L15="Entre 10 y 50 SMLMV o afectación interna",0.4,IF(L15="Entre 50 y 100 SMLMV o afectación con algunos usuarios",0.6,IF(L15="Entre 100 y 500 SMLMV o fectación a nivel municipal/departamental",0.8,IF(L15="Mayor a 500 SMLMV o afectación nacional",1,"")))))</f>
        <v>0.4</v>
      </c>
      <c r="P15" s="129" t="str">
        <f>+IF(L15="Menor a 10 SMLMV o afectación a un área/proceso","Leve",IF(L15="Entre 10 y 50 SMLMV o afectación interna","Menor",IF(L15="Entre 50 y 100 SMLMV o afectación con algunos usuarios","Moderado",IF(L15="Entre 100 y 500 SMLMV o fectación a nivel municipal/departamental","Mayor",IF(L15="Mayor a 500 SMLMV o afectación nacional","Catastrófico","")))))</f>
        <v>Menor</v>
      </c>
      <c r="Q15" s="118" t="str">
        <f>+IF(OR(K15="",L15=""),"",IF(AND(P15="Catastrófico",N15&lt;&gt;""),"Extremo",IF(AND(P15="Mayor",N15&lt;&gt;""),"Alto",IF(AND(N15="Muy Alta",O15&gt;0.1,O15&lt;0.7),"Alto",IF(AND(N15="Alta",P15="Moderado"),"Alto",IF(O15*M15&lt;0.1,"Bajo",IF(AND(N15="Alta",O15&lt;0.5),"Moderado",IF(AND(N15="Media",O15&lt;0.7),"Moderado",IF(AND(N15="Baja",OR(P15="Moderado",P15="Menor")),"Moderado",IF(AND(N15="Muy Baja",P15="Moderado"),"Moderado",))))))))))</f>
        <v>Moderado</v>
      </c>
      <c r="R15" s="116" t="s">
        <v>76</v>
      </c>
      <c r="S15" s="116" t="s">
        <v>70</v>
      </c>
      <c r="T15" s="131"/>
      <c r="U15" s="26">
        <v>1</v>
      </c>
      <c r="V15" s="62" t="s">
        <v>89</v>
      </c>
      <c r="W15" s="22" t="s">
        <v>136</v>
      </c>
      <c r="X15" s="22" t="s">
        <v>96</v>
      </c>
      <c r="Y15" s="25" t="str">
        <f>CONCATENATE(V15,W15,X15)</f>
        <v xml:space="preserve">Profesional universitario 219-01 dirección administrativa – grupo de gestión documental y atención al ciudadanoSesibilizaciones, sobre buen trato y humanización en la atención a usuarios. 
Circulares informativas con caneles y aprámetros para la atención de usuarios.  para garantizar la actualización permanente de la información  . </v>
      </c>
      <c r="Z15" s="22" t="s">
        <v>101</v>
      </c>
      <c r="AA15" s="27" t="s">
        <v>71</v>
      </c>
      <c r="AB15" s="28">
        <f t="shared" ref="AB15:AB17" si="0">+IF(AA15="","",IF(AA15="Preventivo",0.25,IF(AA15="Detectivo",0.15,IF(AA15="Correctivo",0.1,))))</f>
        <v>0.25</v>
      </c>
      <c r="AC15" s="27" t="s">
        <v>72</v>
      </c>
      <c r="AD15" s="28">
        <f t="shared" ref="AD15:AD17" si="1">+IF(AC15="","",IF(AC15="Automático",0.25,IF(AC15="Manual",0.15)))</f>
        <v>0.15</v>
      </c>
      <c r="AE15" s="27" t="s">
        <v>73</v>
      </c>
      <c r="AF15" s="28">
        <f>+IF(AE15="","",IF(AE15="Documentado",0.5,IF(AE15="Sin documentar",0)))</f>
        <v>0.5</v>
      </c>
      <c r="AG15" s="27" t="s">
        <v>77</v>
      </c>
      <c r="AH15" s="28">
        <f>+IF(AG15="","",IF(AG15="Continua",0.1,IF(AG15="Aleatoria",0.05)))</f>
        <v>0.05</v>
      </c>
      <c r="AI15" s="27" t="s">
        <v>75</v>
      </c>
      <c r="AJ15" s="29">
        <f>+IF(AI15="","",IF(AI15="Con registro",0.05,IF(AI15="Sin registro",0)))</f>
        <v>0.05</v>
      </c>
      <c r="AK15" s="29">
        <f>+IF(AA15="Detectivo",M15-(SUM(AB15,AD15)*M15),IF(AA15="Preventivo",M15-(SUM(AB15,AD15)*M15),M15))</f>
        <v>0.48</v>
      </c>
      <c r="AL15" s="138">
        <f>+IF(M15="","",MIN(AK15:AK17))</f>
        <v>0.20159999999999997</v>
      </c>
      <c r="AM15" s="141" t="str">
        <f>+IF(AL15="","",IF(AL15&gt;0.8,"Muy Alta",IF(AND(AL15&lt;=0.8,AL15&gt;0.6),"Alta",IF(AND(AL15&lt;=0.6,AL15&gt;0.4),"Media",IF(AND(AL15&lt;=0.4,AL15&gt;0.2),"Baja","Muy Baja")))))</f>
        <v>Baja</v>
      </c>
      <c r="AN15" s="29">
        <f>+IF(AA15="Correctivo",O15-(SUM(AB15,AD15)*O15),O15)</f>
        <v>0.4</v>
      </c>
      <c r="AO15" s="138">
        <f>+IF(L15="","",MIN(AN16:AN17))</f>
        <v>0.4</v>
      </c>
      <c r="AP15" s="174" t="str">
        <f>+IF(AO15="","",IF(AO15&gt;0.8,"Catastrófico",IF(AND(AO15&lt;=0.8,AO15&gt;0.6),"Mayor",IF(AND(AO15&lt;=0.6,AO15&gt;0.4),"Moderado",IF(AND(AO15&lt;=0.4,AO15&gt;0.2),"Menor","Leve")))))</f>
        <v>Menor</v>
      </c>
      <c r="AQ15" s="141" t="str">
        <f>+IF(OR(AL15="",AO15=""),"",IF(AND(AP15="Catastrófico",AM15&lt;&gt;""),"Extremo",IF(AND(AP15="Mayor",AM15&lt;&gt;""),"Alto",IF(AND(AM15="Muy Alta",AO15&gt;0.1,AO15&lt;0.7),"Alto",IF(AND(AM15="Alta",AP15="Moderado"),"Alto",IF(AO15*AL15&lt;0.1,"Bajo",IF(AND(AM15="Alta",AO15&lt;0.5),"Moderado",IF(AND(AM15="Media",AO15&lt;0.7),"Moderado",IF(AND(AM15="Baja",OR(AP15="Moderado",AP15="Menor")),"Moderado",IF(AND(AM15="Muy Baja",AP15="Moderado"),"Moderado",))))))))))</f>
        <v>Bajo</v>
      </c>
      <c r="AR15" s="120" t="s">
        <v>125</v>
      </c>
      <c r="AS15" s="177"/>
      <c r="AT15" s="31">
        <v>1</v>
      </c>
      <c r="AU15" s="54" t="s">
        <v>127</v>
      </c>
      <c r="AV15" s="54" t="s">
        <v>80</v>
      </c>
      <c r="AW15" s="46" t="s">
        <v>159</v>
      </c>
      <c r="AX15" s="54" t="s">
        <v>135</v>
      </c>
      <c r="AY15" s="66" t="s">
        <v>128</v>
      </c>
      <c r="AZ15" s="22"/>
      <c r="BA15" s="47"/>
      <c r="BB15" s="48"/>
      <c r="BC15" s="49"/>
    </row>
    <row r="16" spans="1:56" s="32" customFormat="1" ht="155.25" customHeight="1" thickBot="1" x14ac:dyDescent="0.3">
      <c r="A16" s="107"/>
      <c r="B16" s="146"/>
      <c r="C16" s="146"/>
      <c r="D16" s="146"/>
      <c r="E16" s="146"/>
      <c r="F16" s="146"/>
      <c r="G16" s="193"/>
      <c r="H16" s="121"/>
      <c r="I16" s="109"/>
      <c r="J16" s="109"/>
      <c r="K16" s="109"/>
      <c r="L16" s="109"/>
      <c r="M16" s="110"/>
      <c r="N16" s="111"/>
      <c r="O16" s="110"/>
      <c r="P16" s="112"/>
      <c r="Q16" s="111"/>
      <c r="R16" s="109"/>
      <c r="S16" s="109"/>
      <c r="T16" s="132"/>
      <c r="U16" s="33">
        <v>2</v>
      </c>
      <c r="V16" s="64" t="s">
        <v>89</v>
      </c>
      <c r="W16" s="23" t="s">
        <v>105</v>
      </c>
      <c r="X16" s="23" t="s">
        <v>104</v>
      </c>
      <c r="Y16" s="63" t="str">
        <f t="shared" ref="Y16" si="2">CONCATENATE(V16,W16,X16)</f>
        <v>Profesional universitario 219-01 dirección administrativa – grupo de gestión documental y atención al ciudadano seguimiento PQRS ventanilla Unicacon el fin de establecer la pertinencia de la información atendida</v>
      </c>
      <c r="Z16" s="23" t="s">
        <v>98</v>
      </c>
      <c r="AA16" s="34" t="s">
        <v>78</v>
      </c>
      <c r="AB16" s="28">
        <f t="shared" si="0"/>
        <v>0.15</v>
      </c>
      <c r="AC16" s="34" t="s">
        <v>72</v>
      </c>
      <c r="AD16" s="28">
        <f t="shared" si="1"/>
        <v>0.15</v>
      </c>
      <c r="AE16" s="34" t="s">
        <v>79</v>
      </c>
      <c r="AF16" s="35"/>
      <c r="AG16" s="34" t="s">
        <v>77</v>
      </c>
      <c r="AH16" s="35"/>
      <c r="AI16" s="34" t="s">
        <v>75</v>
      </c>
      <c r="AJ16" s="36">
        <f t="shared" ref="AJ16:AJ23" si="3">+IF(AI16="","",IF(AI16="Con registro",0.05,IF(AI16="Sin registro",0)))</f>
        <v>0.05</v>
      </c>
      <c r="AK16" s="29">
        <f>+IF(AA16="Detectivo",AK15-(SUM(AB16,AD16)*AK15),IF(AA16="Preventivo",AK15-(SUM(AB16,AD16)*AK15),AK15))</f>
        <v>0.33599999999999997</v>
      </c>
      <c r="AL16" s="139"/>
      <c r="AM16" s="142"/>
      <c r="AN16" s="29">
        <f>+IF(AA16="Correctivo",AN15-(SUM(AB16,AD16)*AN15),AN15)</f>
        <v>0.4</v>
      </c>
      <c r="AO16" s="139"/>
      <c r="AP16" s="175"/>
      <c r="AQ16" s="142"/>
      <c r="AR16" s="121"/>
      <c r="AS16" s="178"/>
      <c r="AT16" s="37">
        <v>2</v>
      </c>
      <c r="AU16" s="52" t="s">
        <v>129</v>
      </c>
      <c r="AV16" s="67" t="s">
        <v>80</v>
      </c>
      <c r="AW16" s="46" t="s">
        <v>159</v>
      </c>
      <c r="AX16" s="52" t="s">
        <v>106</v>
      </c>
      <c r="AY16" s="71" t="s">
        <v>126</v>
      </c>
      <c r="AZ16" s="23"/>
      <c r="BA16" s="47"/>
      <c r="BB16" s="48"/>
      <c r="BC16" s="50"/>
    </row>
    <row r="17" spans="1:55" s="32" customFormat="1" ht="129" thickBot="1" x14ac:dyDescent="0.3">
      <c r="A17" s="124"/>
      <c r="B17" s="147"/>
      <c r="C17" s="147"/>
      <c r="D17" s="147"/>
      <c r="E17" s="147"/>
      <c r="F17" s="147"/>
      <c r="G17" s="194"/>
      <c r="H17" s="144"/>
      <c r="I17" s="125"/>
      <c r="J17" s="125"/>
      <c r="K17" s="125"/>
      <c r="L17" s="125"/>
      <c r="M17" s="127"/>
      <c r="N17" s="135"/>
      <c r="O17" s="127"/>
      <c r="P17" s="137"/>
      <c r="Q17" s="135"/>
      <c r="R17" s="125"/>
      <c r="S17" s="125"/>
      <c r="T17" s="136"/>
      <c r="U17" s="38">
        <v>3</v>
      </c>
      <c r="V17" s="64" t="s">
        <v>95</v>
      </c>
      <c r="W17" s="24" t="s">
        <v>99</v>
      </c>
      <c r="X17" s="24" t="s">
        <v>100</v>
      </c>
      <c r="Y17" s="63" t="str">
        <f>CONCATENATE(V17,W17,X17)</f>
        <v>Profesional universitario 219-01 dirección administrativa – grupo de gestión documental y atención al ciudadano, en coordinación con la oficina de comunicaciones , realizará sensibilización a través de piezas gráficas en donde se comunicará a los usuarios los diferentes medios de atención , de manera clara y didactica.  para garantizar el acceso claro y de forma amigable a la información</v>
      </c>
      <c r="Z17" s="24" t="s">
        <v>97</v>
      </c>
      <c r="AA17" s="39" t="s">
        <v>71</v>
      </c>
      <c r="AB17" s="28">
        <f t="shared" si="0"/>
        <v>0.25</v>
      </c>
      <c r="AC17" s="39" t="s">
        <v>72</v>
      </c>
      <c r="AD17" s="28">
        <f t="shared" si="1"/>
        <v>0.15</v>
      </c>
      <c r="AE17" s="39" t="s">
        <v>73</v>
      </c>
      <c r="AF17" s="40"/>
      <c r="AG17" s="39" t="s">
        <v>74</v>
      </c>
      <c r="AH17" s="40"/>
      <c r="AI17" s="39" t="s">
        <v>75</v>
      </c>
      <c r="AJ17" s="41">
        <f t="shared" si="3"/>
        <v>0.05</v>
      </c>
      <c r="AK17" s="29">
        <f>+IF(AA17="Detectivo",AK16-(SUM(AB17,AD17)*AK16),IF(AA17="Preventivo",AK16-(SUM(AB17,AD17)*AK16),AK16))</f>
        <v>0.20159999999999997</v>
      </c>
      <c r="AL17" s="139"/>
      <c r="AM17" s="142"/>
      <c r="AN17" s="29">
        <f>+IF(AA17="Correctivo",AN16-(SUM(AB17,AD17)*AN16),AN16)</f>
        <v>0.4</v>
      </c>
      <c r="AO17" s="139"/>
      <c r="AP17" s="175"/>
      <c r="AQ17" s="142"/>
      <c r="AR17" s="121"/>
      <c r="AS17" s="178"/>
      <c r="AT17" s="42">
        <v>3</v>
      </c>
      <c r="AU17" s="24" t="s">
        <v>130</v>
      </c>
      <c r="AV17" s="61" t="s">
        <v>116</v>
      </c>
      <c r="AW17" s="46" t="s">
        <v>159</v>
      </c>
      <c r="AX17" s="22" t="s">
        <v>131</v>
      </c>
      <c r="AY17" s="71" t="s">
        <v>126</v>
      </c>
      <c r="AZ17" s="24"/>
      <c r="BA17" s="47"/>
      <c r="BB17" s="48"/>
      <c r="BC17" s="51"/>
    </row>
    <row r="18" spans="1:55" s="32" customFormat="1" ht="114.75" thickBot="1" x14ac:dyDescent="0.3">
      <c r="A18" s="87"/>
      <c r="B18" s="88"/>
      <c r="C18" s="88"/>
      <c r="D18" s="88"/>
      <c r="E18" s="88"/>
      <c r="F18" s="88"/>
      <c r="G18" s="89"/>
      <c r="H18" s="82"/>
      <c r="I18" s="82"/>
      <c r="J18" s="82"/>
      <c r="K18" s="82"/>
      <c r="L18" s="82"/>
      <c r="M18" s="90"/>
      <c r="N18" s="91"/>
      <c r="O18" s="90"/>
      <c r="P18" s="92"/>
      <c r="Q18" s="91"/>
      <c r="R18" s="82"/>
      <c r="S18" s="82"/>
      <c r="T18" s="93"/>
      <c r="U18" s="94">
        <v>4</v>
      </c>
      <c r="V18" s="84" t="s">
        <v>95</v>
      </c>
      <c r="W18" s="82" t="s">
        <v>183</v>
      </c>
      <c r="X18" s="82" t="s">
        <v>184</v>
      </c>
      <c r="Y18" s="81" t="str">
        <f>CONCATENATE(V18,W18,X18)</f>
        <v>Profesional universitario 219-01 dirección administrativa – grupo de gestión documental y atención al ciudadano, en coordinación con la oficina de comunicaciones Realizar capacitacion de la competencia y labore de cada una de las areas de l institutopara garantizar la asginacion del responsable correcta</v>
      </c>
      <c r="Z18" s="85" t="s">
        <v>115</v>
      </c>
      <c r="AA18" s="95" t="s">
        <v>71</v>
      </c>
      <c r="AB18" s="28"/>
      <c r="AC18" s="95" t="s">
        <v>72</v>
      </c>
      <c r="AD18" s="28"/>
      <c r="AE18" s="95" t="s">
        <v>73</v>
      </c>
      <c r="AF18" s="96"/>
      <c r="AG18" s="95" t="s">
        <v>74</v>
      </c>
      <c r="AH18" s="96"/>
      <c r="AI18" s="95" t="s">
        <v>75</v>
      </c>
      <c r="AJ18" s="41">
        <f t="shared" si="3"/>
        <v>0.05</v>
      </c>
      <c r="AK18" s="29">
        <f>+IF(AA18="Detectivo",AK17-(SUM(AB18,AD18)*AK17),IF(AA18="Preventivo",AK17-(SUM(AB18,AD18)*AK17),AK17))</f>
        <v>0.20159999999999997</v>
      </c>
      <c r="AL18" s="140"/>
      <c r="AM18" s="143"/>
      <c r="AN18" s="29"/>
      <c r="AO18" s="140"/>
      <c r="AP18" s="176"/>
      <c r="AQ18" s="143"/>
      <c r="AR18" s="144"/>
      <c r="AS18" s="179"/>
      <c r="AT18" s="97">
        <v>4</v>
      </c>
      <c r="AU18" s="82" t="s">
        <v>185</v>
      </c>
      <c r="AV18" s="84" t="s">
        <v>116</v>
      </c>
      <c r="AW18" s="46" t="s">
        <v>159</v>
      </c>
      <c r="AX18" s="52" t="s">
        <v>106</v>
      </c>
      <c r="AY18" s="83" t="s">
        <v>126</v>
      </c>
      <c r="AZ18" s="82"/>
      <c r="BA18" s="47"/>
      <c r="BB18" s="48"/>
      <c r="BC18" s="98"/>
    </row>
    <row r="19" spans="1:55" s="32" customFormat="1" ht="149.25" customHeight="1" thickBot="1" x14ac:dyDescent="0.3">
      <c r="A19" s="106" t="s">
        <v>58</v>
      </c>
      <c r="B19" s="116" t="s">
        <v>91</v>
      </c>
      <c r="C19" s="116" t="s">
        <v>66</v>
      </c>
      <c r="D19" s="116" t="s">
        <v>67</v>
      </c>
      <c r="E19" s="116" t="s">
        <v>85</v>
      </c>
      <c r="F19" s="116" t="s">
        <v>90</v>
      </c>
      <c r="G19" s="118" t="str">
        <f t="shared" ref="G19" si="4">+IF(OR(D19&lt;&gt;"",E19&lt;&gt;"",F19&lt;&gt;""),CONCATENATE("Posibilidad de ",D19," por ",E19," debido a ",F19),"")</f>
        <v xml:space="preserve">Posibilidad de afectación económica y reputacional por acceso de personal no autorizado a las instalacions del instituto   debido a 1) No hacer el debido registro y seguimiento de ingresos de visitantes  a las instalaciones
2) Falta de confirmación de registro de ingreso por parte del personal.
3) Exposición a cambios regulatorios, debido a factores internos o externos que afecten el normal funcionamiento del instituto y/o las dinámicas de este (eventos climáticos y/o atmosféricos, epidemias, pandemias, eventos de orden público, eventos desarrollados de manera interna, terremotos, inundaciones, fallas eléctricas, etc.). </v>
      </c>
      <c r="H19" s="120" t="s">
        <v>92</v>
      </c>
      <c r="I19" s="116" t="s">
        <v>68</v>
      </c>
      <c r="J19" s="116" t="s">
        <v>69</v>
      </c>
      <c r="K19" s="116" t="s">
        <v>88</v>
      </c>
      <c r="L19" s="116" t="s">
        <v>123</v>
      </c>
      <c r="M19" s="126">
        <f>+IF(K19="Máximo 2 veces",0.2,IF(K19="Entre 3 a 24 veces",0.4,IF(K19="Entre 24 a 500 veces",0.6,IF(K19="Entre 500 a 5000 veces",0.8,IF(K19="Mas de 5000 veces",1,"")))))</f>
        <v>0.8</v>
      </c>
      <c r="N19" s="118" t="str">
        <f>+IF(M19="","",IF(M19&gt;0.8,"Muy Alta",IF(AND(M19&lt;=0.8,M19&gt;0.6),"Alta",IF(AND(M19&lt;=0.6,M19&gt;0.4),"Media",IF(AND(M19&lt;=0.4,M19&gt;0.2),"Baja","Muy Baja")))))</f>
        <v>Alta</v>
      </c>
      <c r="O19" s="126">
        <f>+IF(L19="Menor a 10 SMLMV o afectación a un área/proceso",0.2,IF(L19="Entre 10 y 50 SMLMV o afectación interna",0.4,IF(L19="Entre 50 y 100 SMLMV o afectación con algunos usuarios",0.6,IF(L19="Entre 100 y 500 SMLMV o fectación a nivel municipal/departamental",0.8,IF(L19="Mayor a 500 SMLMV o afectación nacional",1,"")))))</f>
        <v>0.8</v>
      </c>
      <c r="P19" s="129" t="str">
        <f>+IF(L19="Menor a 10 SMLMV o afectación a un área/proceso","Leve",IF(L19="Entre 10 y 50 SMLMV o afectación interna","Menor",IF(L19="Entre 50 y 100 SMLMV o afectación con algunos usuarios","Moderado",IF(L19="Entre 100 y 500 SMLMV o fectación a nivel municipal/departamental","Mayor",IF(L19="Mayor a 500 SMLMV o afectación nacional","Catastrófico","")))))</f>
        <v>Mayor</v>
      </c>
      <c r="Q19" s="118" t="str">
        <f>+IF(OR(K19="",L19=""),"",IF(AND(P19="Catastrófico",N19&lt;&gt;""),"Extremo",IF(AND(P19="Mayor",N19&lt;&gt;""),"Alto",IF(AND(N19="Muy Alta",O19&gt;0.1,O19&lt;0.7),"Alto",IF(AND(N19="Alta",P19="Moderado"),"Alto",IF(O19*M19&lt;0.1,"Bajo",IF(AND(N19="Alta",O19&lt;0.5),"Moderado",IF(AND(N19="Media",O19&lt;0.7),"Moderado",IF(AND(N19="Baja",OR(P19="Moderado",P19="Menor")),"Moderado",IF(AND(N19="Muy Baja",P19="Moderado"),"Moderado",))))))))))</f>
        <v>Alto</v>
      </c>
      <c r="R19" s="116" t="s">
        <v>76</v>
      </c>
      <c r="S19" s="116" t="s">
        <v>70</v>
      </c>
      <c r="T19" s="131"/>
      <c r="U19" s="26">
        <v>1</v>
      </c>
      <c r="V19" s="67" t="s">
        <v>95</v>
      </c>
      <c r="W19" s="52" t="s">
        <v>132</v>
      </c>
      <c r="X19" s="22" t="s">
        <v>133</v>
      </c>
      <c r="Y19" s="65" t="str">
        <f t="shared" ref="Y19:Y24" si="5">CONCATENATE(V19,W19,X19)</f>
        <v xml:space="preserve">Profesional universitario 219-01 dirección administrativa – grupo de gestión documental y atención al ciudadano, en coordinación con la oficina de comunicaciones implementará de una herramienta tecnológica  para el registro de personal con el fin de verificar ingreso y salida de usuarios, funcionarios y personas externas, a la diferentes áreas de la entidad y sus inmuebles conexos. </v>
      </c>
      <c r="Z19" s="68" t="s">
        <v>134</v>
      </c>
      <c r="AA19" s="27" t="s">
        <v>71</v>
      </c>
      <c r="AB19" s="28">
        <f>+IF(AA19="","",IF(AA19="Preventivo",0.25,IF(AA19="Detectivo",0.15,IF(AA19="Correctivo",0.1,))))</f>
        <v>0.25</v>
      </c>
      <c r="AC19" s="27" t="s">
        <v>72</v>
      </c>
      <c r="AD19" s="28">
        <f>+IF(AC19="","",IF(AC19="Automático",0.25,IF(AC19="Manual",0.15)))</f>
        <v>0.15</v>
      </c>
      <c r="AE19" s="27" t="s">
        <v>73</v>
      </c>
      <c r="AF19" s="28">
        <f>+IF(AE19="","",IF(AE19="Documentado",0.5,IF(AE19="Sin documentar",0)))</f>
        <v>0.5</v>
      </c>
      <c r="AG19" s="27" t="s">
        <v>74</v>
      </c>
      <c r="AH19" s="28">
        <f>+IF(AG19="","",IF(AG19="Continua",0.1,IF(AG19="Aleatoria",0.05)))</f>
        <v>0.1</v>
      </c>
      <c r="AI19" s="27" t="s">
        <v>75</v>
      </c>
      <c r="AJ19" s="29">
        <f>+IF(AI19="","",IF(AI19="Con registro",0.05,IF(AI19="Sin registro",0)))</f>
        <v>0.05</v>
      </c>
      <c r="AK19" s="29">
        <f>+IF(AA19="Detectivo",M19-(SUM(AB19,AD19)*M19),IF(AA19="Preventivo",M19-(SUM(AB19,AD19)*M19),M19))</f>
        <v>0.48</v>
      </c>
      <c r="AL19" s="126">
        <f>+IF(M19="","",MIN(AK19:AK20))</f>
        <v>0.33599999999999997</v>
      </c>
      <c r="AM19" s="118" t="str">
        <f>+IF(AL19="","",IF(AL19&gt;0.8,"Muy Alta",IF(AND(AL19&lt;=0.8,AL19&gt;0.6),"Alta",IF(AND(AL19&lt;=0.6,AL19&gt;0.4),"Media",IF(AND(AL19&lt;=0.4,AL19&gt;0.2),"Baja","Muy Baja")))))</f>
        <v>Baja</v>
      </c>
      <c r="AN19" s="29">
        <f>+IF(AA19="Correctivo",O19-(SUM(AB19,AD19)*O19),O19)</f>
        <v>0.8</v>
      </c>
      <c r="AO19" s="126">
        <f>+IF(L19="","",MIN(AN20:AN20))</f>
        <v>0.8</v>
      </c>
      <c r="AP19" s="129" t="str">
        <f>+IF(AO19="","",IF(AO19&gt;0.8,"Catastrófico",IF(AND(AO19&lt;=0.8,AO19&gt;0.6),"Mayor",IF(AND(AO19&lt;=0.6,AO19&gt;0.4),"Moderado",IF(AND(AO19&lt;=0.4,AO19&gt;0.2),"Menor","Leve")))))</f>
        <v>Mayor</v>
      </c>
      <c r="AQ19" s="118" t="str">
        <f t="shared" ref="AQ19" si="6">+IF(OR(AL19="",AO19=""),"",IF(AND(AP19="Catastrófico",AM19&lt;&gt;""),"Extremo",IF(AND(AP19="Mayor",AM19&lt;&gt;""),"Alto",IF(AND(AM19="Muy Alta",AO19&gt;0.1,AO19&lt;0.7),"Alto",IF(AND(AM19="Alta",AP19="Moderado"),"Alto",IF(AO19*AL19&lt;0.1,"Bajo",IF(AND(AM19="Alta",AO19&lt;0.5),"Moderado",IF(AND(AM19="Media",AO19&lt;0.7),"Moderado",IF(AND(AM19="Baja",OR(AP19="Moderado",AP19="Menor")),"Moderado",IF(AND(AM19="Muy Baja",AP19="Moderado"),"Moderado",))))))))))</f>
        <v>Alto</v>
      </c>
      <c r="AR19" s="120" t="s">
        <v>113</v>
      </c>
      <c r="AS19" s="177"/>
      <c r="AT19" s="31">
        <v>1</v>
      </c>
      <c r="AU19" s="22" t="s">
        <v>119</v>
      </c>
      <c r="AV19" s="70" t="s">
        <v>80</v>
      </c>
      <c r="AW19" s="46" t="s">
        <v>159</v>
      </c>
      <c r="AX19" s="57" t="s">
        <v>120</v>
      </c>
      <c r="AY19" s="71" t="s">
        <v>126</v>
      </c>
      <c r="AZ19" s="22"/>
      <c r="BA19" s="47"/>
      <c r="BB19" s="48"/>
      <c r="BC19" s="122"/>
    </row>
    <row r="20" spans="1:55" s="32" customFormat="1" ht="140.25" customHeight="1" thickBot="1" x14ac:dyDescent="0.3">
      <c r="A20" s="107"/>
      <c r="B20" s="109"/>
      <c r="C20" s="109"/>
      <c r="D20" s="109"/>
      <c r="E20" s="109"/>
      <c r="F20" s="109"/>
      <c r="G20" s="111"/>
      <c r="H20" s="121"/>
      <c r="I20" s="109"/>
      <c r="J20" s="109"/>
      <c r="K20" s="109"/>
      <c r="L20" s="109"/>
      <c r="M20" s="110"/>
      <c r="N20" s="111"/>
      <c r="O20" s="110"/>
      <c r="P20" s="112"/>
      <c r="Q20" s="111"/>
      <c r="R20" s="109"/>
      <c r="S20" s="109"/>
      <c r="T20" s="132"/>
      <c r="U20" s="33">
        <v>2</v>
      </c>
      <c r="V20" s="67" t="s">
        <v>89</v>
      </c>
      <c r="W20" s="60" t="s">
        <v>108</v>
      </c>
      <c r="X20" s="23" t="s">
        <v>107</v>
      </c>
      <c r="Y20" s="65" t="str">
        <f t="shared" si="5"/>
        <v>Profesional universitario 219-01 dirección administrativa – grupo de gestión documental y atención al ciudadanoImplementará la comunicación permanente entre vigilantes y funcionarios de los procesos  para el control de ingreso de usuarios y personal externo a la entidad</v>
      </c>
      <c r="Z20" s="69" t="s">
        <v>109</v>
      </c>
      <c r="AA20" s="34" t="s">
        <v>78</v>
      </c>
      <c r="AB20" s="35">
        <f t="shared" ref="AB20:AB23" si="7">+IF(AA20="","",IF(AA20="Preventivo",0.25,IF(AA20="Detectivo",0.15,IF(AA20="Correctivo",0.1,))))</f>
        <v>0.15</v>
      </c>
      <c r="AC20" s="34" t="s">
        <v>72</v>
      </c>
      <c r="AD20" s="35">
        <f t="shared" ref="AD20:AD23" si="8">+IF(AC20="","",IF(AC20="Automático",0.25,IF(AC20="Manual",0.15)))</f>
        <v>0.15</v>
      </c>
      <c r="AE20" s="34" t="s">
        <v>73</v>
      </c>
      <c r="AF20" s="35">
        <f t="shared" ref="AF20:AF23" si="9">+IF(AE20="","",IF(AE20="Documentado",0.5,IF(AE20="Sin documentar",0)))</f>
        <v>0.5</v>
      </c>
      <c r="AG20" s="34" t="s">
        <v>77</v>
      </c>
      <c r="AH20" s="35">
        <f t="shared" ref="AH20:AH23" si="10">+IF(AG20="","",IF(AG20="Continua",0.1,IF(AG20="Aleatoria",0.05)))</f>
        <v>0.05</v>
      </c>
      <c r="AI20" s="34" t="s">
        <v>75</v>
      </c>
      <c r="AJ20" s="36">
        <f t="shared" si="3"/>
        <v>0.05</v>
      </c>
      <c r="AK20" s="29">
        <f>+IF(AA20="Detectivo",AK19-(SUM(AB20,AD20)*AK19),IF(AA20="Preventivo",AK19-(SUM(AB20,AD20)*AK19),AK19))</f>
        <v>0.33599999999999997</v>
      </c>
      <c r="AL20" s="110"/>
      <c r="AM20" s="111"/>
      <c r="AN20" s="29">
        <f>+IF(AA20="Correctivo",AN19-(SUM(AB20,AD20)*AN19),AN19)</f>
        <v>0.8</v>
      </c>
      <c r="AO20" s="110"/>
      <c r="AP20" s="112"/>
      <c r="AQ20" s="111"/>
      <c r="AR20" s="121"/>
      <c r="AS20" s="121"/>
      <c r="AT20" s="37">
        <v>2</v>
      </c>
      <c r="AU20" s="23" t="s">
        <v>121</v>
      </c>
      <c r="AV20" s="70" t="s">
        <v>80</v>
      </c>
      <c r="AW20" s="46" t="s">
        <v>159</v>
      </c>
      <c r="AX20" s="59" t="s">
        <v>122</v>
      </c>
      <c r="AY20" s="71" t="s">
        <v>126</v>
      </c>
      <c r="AZ20" s="23"/>
      <c r="BA20" s="47"/>
      <c r="BB20" s="48"/>
      <c r="BC20" s="123"/>
    </row>
    <row r="21" spans="1:55" s="32" customFormat="1" ht="158.25" customHeight="1" thickBot="1" x14ac:dyDescent="0.3">
      <c r="A21" s="106" t="s">
        <v>59</v>
      </c>
      <c r="B21" s="116" t="s">
        <v>93</v>
      </c>
      <c r="C21" s="116" t="s">
        <v>66</v>
      </c>
      <c r="D21" s="116" t="s">
        <v>67</v>
      </c>
      <c r="E21" s="116" t="s">
        <v>94</v>
      </c>
      <c r="F21" s="116" t="s">
        <v>102</v>
      </c>
      <c r="G21" s="118" t="str">
        <f t="shared" ref="G21" si="11">+IF(OR(D21&lt;&gt;"",E21&lt;&gt;"",F21&lt;&gt;""),CONCATENATE("Posibilidad de ",D21," por ",E21," debido a ",F21),"")</f>
        <v xml:space="preserve">Posibilidad de afectación económica y reputacional por incumplimiento en la respuesta a requerimientos de usuarios, grupos de valor y personas interesadas debido a 1. Falta de articulación entre áreas para la recolección de información esencial para las respuestas.
2. Falta de seguimiento y/o de compromiso frente al deber legal de la entidad de atender a los usuarios dentro de los términos establecidos. 
3.   Demoras en la recolección de la información necesaria </v>
      </c>
      <c r="H21" s="120" t="s">
        <v>103</v>
      </c>
      <c r="I21" s="116" t="s">
        <v>68</v>
      </c>
      <c r="J21" s="116" t="s">
        <v>69</v>
      </c>
      <c r="K21" s="116" t="s">
        <v>88</v>
      </c>
      <c r="L21" s="116" t="s">
        <v>124</v>
      </c>
      <c r="M21" s="126">
        <f>+IF(K21="Máximo 2 veces",0.2,IF(K21="Entre 3 a 24 veces",0.4,IF(K21="Entre 24 a 500 veces",0.6,IF(K21="Entre 500 a 5000 veces",0.8,IF(K21="Mas de 5000 veces",1,"")))))</f>
        <v>0.8</v>
      </c>
      <c r="N21" s="118" t="str">
        <f>+IF(M21="","",IF(M21&gt;0.8,"Muy Alta",IF(AND(M21&lt;=0.8,M21&gt;0.6),"Alta",IF(AND(M21&lt;=0.6,M21&gt;0.4),"Media",IF(AND(M21&lt;=0.4,M21&gt;0.2),"Baja","Muy Baja")))))</f>
        <v>Alta</v>
      </c>
      <c r="O21" s="126">
        <f>+IF(L21="Menor a 10 SMLMV o afectación a un área/proceso",0.2,IF(L21="Entre 10 y 50 SMLMV o afectación interna",0.4,IF(L21="Entre 50 y 100 SMLMV o afectación con algunos usuarios",0.6,IF(L21="Entre 100 y 500 SMLMV o fectación a nivel municipal/departamental",0.8,IF(L21="Mayor a 500 SMLMV o afectación nacional",1,"")))))</f>
        <v>1</v>
      </c>
      <c r="P21" s="129" t="str">
        <f>+IF(L21="Menor a 10 SMLMV o afectación a un área/proceso","Leve",IF(L21="Entre 10 y 50 SMLMV o afectación interna","Menor",IF(L21="Entre 50 y 100 SMLMV o afectación con algunos usuarios","Moderado",IF(L21="Entre 100 y 500 SMLMV o fectación a nivel municipal/departamental","Mayor",IF(L21="Mayor a 500 SMLMV o afectación nacional","Catastrófico","")))))</f>
        <v>Catastrófico</v>
      </c>
      <c r="Q21" s="118" t="str">
        <f>+IF(OR(K21="",L21=""),"",IF(AND(P21="Catastrófico",N21&lt;&gt;""),"Extremo",IF(AND(P21="Mayor",N21&lt;&gt;""),"Alto",IF(AND(N21="Muy Alta",O21&gt;0.1,O21&lt;0.7),"Alto",IF(AND(N21="Alta",P21="Moderado"),"Alto",IF(O21*M21&lt;0.1,"Bajo",IF(AND(N21="Alta",O21&lt;0.5),"Moderado",IF(AND(N21="Media",O21&lt;0.7),"Moderado",IF(AND(N21="Baja",OR(P21="Moderado",P21="Menor")),"Moderado",IF(AND(N21="Muy Baja",P21="Moderado"),"Moderado",))))))))))</f>
        <v>Extremo</v>
      </c>
      <c r="R21" s="116" t="s">
        <v>76</v>
      </c>
      <c r="S21" s="116" t="s">
        <v>70</v>
      </c>
      <c r="T21" s="131"/>
      <c r="U21" s="26">
        <v>1</v>
      </c>
      <c r="V21" s="69" t="s">
        <v>89</v>
      </c>
      <c r="W21" s="22" t="s">
        <v>110</v>
      </c>
      <c r="X21" s="22" t="s">
        <v>112</v>
      </c>
      <c r="Y21" s="65" t="str">
        <f t="shared" si="5"/>
        <v xml:space="preserve">Profesional universitario 219-01 dirección administrativa – grupo de gestión documental y atención al ciudadanorealizará control semaforizado de los PQRS que se radican a la entidad, con el fin de llevar control de los tiempos de respuesta </v>
      </c>
      <c r="Z21" s="22" t="s">
        <v>114</v>
      </c>
      <c r="AA21" s="27" t="s">
        <v>78</v>
      </c>
      <c r="AB21" s="28">
        <f>+IF(AA21="","",IF(AA21="Preventivo",0.25,IF(AA21="Detectivo",0.15,IF(AA21="Correctivo",0.1,))))</f>
        <v>0.15</v>
      </c>
      <c r="AC21" s="27" t="s">
        <v>72</v>
      </c>
      <c r="AD21" s="28">
        <f>+IF(AC21="","",IF(AC21="Automático",0.25,IF(AC21="Manual",0.15)))</f>
        <v>0.15</v>
      </c>
      <c r="AE21" s="27" t="s">
        <v>73</v>
      </c>
      <c r="AF21" s="28">
        <f>+IF(AE21="","",IF(AE21="Documentado",0.5,IF(AE21="Sin documentar",0)))</f>
        <v>0.5</v>
      </c>
      <c r="AG21" s="27" t="s">
        <v>74</v>
      </c>
      <c r="AH21" s="28">
        <f>+IF(AG21="","",IF(AG21="Continua",0.1,IF(AG21="Aleatoria",0.05)))</f>
        <v>0.1</v>
      </c>
      <c r="AI21" s="27" t="s">
        <v>75</v>
      </c>
      <c r="AJ21" s="29">
        <f>+IF(AI21="","",IF(AI21="Con registro",0.05,IF(AI21="Sin registro",0)))</f>
        <v>0.05</v>
      </c>
      <c r="AK21" s="29">
        <f>+IF(AA21="Detectivo",M21-(SUM(AB21,AD21)*M21),IF(AA21="Preventivo",M21-(SUM(AB21,AD21)*M21),M21))</f>
        <v>0.56000000000000005</v>
      </c>
      <c r="AL21" s="126">
        <f>+IF(M21="","",MIN(AK21:AK23))</f>
        <v>0.39200000000000002</v>
      </c>
      <c r="AM21" s="118" t="str">
        <f>+IF(AL21="","",IF(AL21&gt;0.8,"Muy Alta",IF(AND(AL21&lt;=0.8,AL21&gt;0.6),"Alta",IF(AND(AL21&lt;=0.6,AL21&gt;0.4),"Media",IF(AND(AL21&lt;=0.4,AL21&gt;0.2),"Baja","Muy Baja")))))</f>
        <v>Baja</v>
      </c>
      <c r="AN21" s="30">
        <f>+IF(OR(S21="",S21="No"),O21,O21-(O21*T21))</f>
        <v>1</v>
      </c>
      <c r="AO21" s="126">
        <f>+IF(L21="","",MIN(AN22:AN23))</f>
        <v>0.75</v>
      </c>
      <c r="AP21" s="129" t="str">
        <f>+IF(AO21="","",IF(AO21&gt;0.8,"Catastrófico",IF(AND(AO21&lt;=0.8,AO21&gt;0.6),"Mayor",IF(AND(AO21&lt;=0.6,AO21&gt;0.4),"Moderado",IF(AND(AO21&lt;=0.4,AO21&gt;0.2),"Menor","Leve")))))</f>
        <v>Mayor</v>
      </c>
      <c r="AQ21" s="118" t="str">
        <f t="shared" ref="AQ21" si="12">+IF(OR(AL21="",AO21=""),"",IF(AND(AP21="Catastrófico",AM21&lt;&gt;""),"Extremo",IF(AND(AP21="Mayor",AM21&lt;&gt;""),"Alto",IF(AND(AM21="Muy Alta",AO21&gt;0.1,AO21&lt;0.7),"Alto",IF(AND(AM21="Alta",AP21="Moderado"),"Alto",IF(AO21*AL21&lt;0.1,"Bajo",IF(AND(AM21="Alta",AO21&lt;0.5),"Moderado",IF(AND(AM21="Media",AO21&lt;0.7),"Moderado",IF(AND(AM21="Baja",OR(AP21="Moderado",AP21="Menor")),"Moderado",IF(AND(AM21="Muy Baja",AP21="Moderado"),"Moderado",))))))))))</f>
        <v>Alto</v>
      </c>
      <c r="AR21" s="109" t="s">
        <v>143</v>
      </c>
      <c r="AS21" s="115"/>
      <c r="AT21" s="31">
        <v>1</v>
      </c>
      <c r="AU21" s="58" t="s">
        <v>144</v>
      </c>
      <c r="AV21" s="70" t="s">
        <v>118</v>
      </c>
      <c r="AW21" s="46" t="s">
        <v>159</v>
      </c>
      <c r="AX21" s="22" t="s">
        <v>145</v>
      </c>
      <c r="AY21" s="71" t="s">
        <v>126</v>
      </c>
      <c r="AZ21" s="72"/>
      <c r="BA21" s="79"/>
      <c r="BB21" s="80"/>
      <c r="BC21" s="109"/>
    </row>
    <row r="22" spans="1:55" s="32" customFormat="1" ht="114" customHeight="1" thickBot="1" x14ac:dyDescent="0.3">
      <c r="A22" s="107"/>
      <c r="B22" s="109"/>
      <c r="C22" s="109"/>
      <c r="D22" s="109"/>
      <c r="E22" s="109"/>
      <c r="F22" s="109"/>
      <c r="G22" s="111"/>
      <c r="H22" s="121"/>
      <c r="I22" s="109"/>
      <c r="J22" s="109"/>
      <c r="K22" s="109"/>
      <c r="L22" s="109"/>
      <c r="M22" s="110"/>
      <c r="N22" s="111"/>
      <c r="O22" s="110"/>
      <c r="P22" s="112"/>
      <c r="Q22" s="111"/>
      <c r="R22" s="109"/>
      <c r="S22" s="109"/>
      <c r="T22" s="132"/>
      <c r="U22" s="33">
        <v>2</v>
      </c>
      <c r="V22" s="69" t="s">
        <v>89</v>
      </c>
      <c r="W22" s="23" t="s">
        <v>111</v>
      </c>
      <c r="X22" s="23" t="s">
        <v>138</v>
      </c>
      <c r="Y22" s="65" t="str">
        <f t="shared" si="5"/>
        <v xml:space="preserve">Profesional universitario 219-01 dirección administrativa – grupo de gestión documental y atención al ciudadanorealizará requerimientos periódicos por demoras evidenciadas en los controles de correspondencia efectuados , a fin de agilizar la respuesta en los términos legalmente establecidos. </v>
      </c>
      <c r="Z22" s="23" t="s">
        <v>139</v>
      </c>
      <c r="AA22" s="34" t="s">
        <v>142</v>
      </c>
      <c r="AB22" s="35">
        <f t="shared" si="7"/>
        <v>0.1</v>
      </c>
      <c r="AC22" s="34" t="s">
        <v>72</v>
      </c>
      <c r="AD22" s="35">
        <f t="shared" si="8"/>
        <v>0.15</v>
      </c>
      <c r="AE22" s="34" t="s">
        <v>73</v>
      </c>
      <c r="AF22" s="35">
        <f t="shared" si="9"/>
        <v>0.5</v>
      </c>
      <c r="AG22" s="34" t="s">
        <v>77</v>
      </c>
      <c r="AH22" s="35">
        <f t="shared" si="10"/>
        <v>0.05</v>
      </c>
      <c r="AI22" s="34" t="s">
        <v>75</v>
      </c>
      <c r="AJ22" s="36">
        <f t="shared" si="3"/>
        <v>0.05</v>
      </c>
      <c r="AK22" s="29">
        <f>+IF(AA22="Detectivo",AK21-(SUM(AB22,AD22)*AK21),IF(AA22="Preventivo",AK21-(SUM(AB22,AD22)*AK21),AK21))</f>
        <v>0.56000000000000005</v>
      </c>
      <c r="AL22" s="110"/>
      <c r="AM22" s="111"/>
      <c r="AN22" s="29">
        <f>+IF(AA22="Correctivo",AN21-(SUM(AB22,AD22)*AN21),AN21)</f>
        <v>0.75</v>
      </c>
      <c r="AO22" s="110"/>
      <c r="AP22" s="112"/>
      <c r="AQ22" s="111"/>
      <c r="AR22" s="109"/>
      <c r="AS22" s="109"/>
      <c r="AT22" s="37">
        <v>2</v>
      </c>
      <c r="AU22" s="58" t="s">
        <v>146</v>
      </c>
      <c r="AV22" s="70" t="s">
        <v>118</v>
      </c>
      <c r="AW22" s="46" t="s">
        <v>159</v>
      </c>
      <c r="AX22" s="23" t="s">
        <v>147</v>
      </c>
      <c r="AY22" s="71" t="s">
        <v>126</v>
      </c>
      <c r="AZ22" s="72"/>
      <c r="BA22" s="79"/>
      <c r="BB22" s="80"/>
      <c r="BC22" s="109"/>
    </row>
    <row r="23" spans="1:55" s="32" customFormat="1" ht="209.25" customHeight="1" thickBot="1" x14ac:dyDescent="0.3">
      <c r="A23" s="124"/>
      <c r="B23" s="125"/>
      <c r="C23" s="125"/>
      <c r="D23" s="125"/>
      <c r="E23" s="125"/>
      <c r="F23" s="125"/>
      <c r="G23" s="135"/>
      <c r="H23" s="144"/>
      <c r="I23" s="125"/>
      <c r="J23" s="125"/>
      <c r="K23" s="125"/>
      <c r="L23" s="125"/>
      <c r="M23" s="127"/>
      <c r="N23" s="135"/>
      <c r="O23" s="127"/>
      <c r="P23" s="137"/>
      <c r="Q23" s="135"/>
      <c r="R23" s="125"/>
      <c r="S23" s="125"/>
      <c r="T23" s="136"/>
      <c r="U23" s="38">
        <v>3</v>
      </c>
      <c r="V23" s="69" t="s">
        <v>89</v>
      </c>
      <c r="W23" s="24" t="s">
        <v>140</v>
      </c>
      <c r="X23" s="24" t="s">
        <v>141</v>
      </c>
      <c r="Y23" s="65" t="str">
        <f t="shared" si="5"/>
        <v xml:space="preserve">Profesional universitario 219-01 dirección administrativa – grupo de gestión documental y atención al ciudadanorealizará mesas de trabajo con el fin de diagnósticar las deficiencias a la horas de producir y recopilar información necesaria para las respuestas a los PQRS a fin de establecer rutas críticas para la atención de los mismos. </v>
      </c>
      <c r="Z23" s="24" t="s">
        <v>115</v>
      </c>
      <c r="AA23" s="39" t="s">
        <v>78</v>
      </c>
      <c r="AB23" s="40">
        <f t="shared" si="7"/>
        <v>0.15</v>
      </c>
      <c r="AC23" s="39" t="s">
        <v>72</v>
      </c>
      <c r="AD23" s="40">
        <f t="shared" si="8"/>
        <v>0.15</v>
      </c>
      <c r="AE23" s="39" t="s">
        <v>73</v>
      </c>
      <c r="AF23" s="40">
        <f t="shared" si="9"/>
        <v>0.5</v>
      </c>
      <c r="AG23" s="39" t="s">
        <v>77</v>
      </c>
      <c r="AH23" s="40">
        <f t="shared" si="10"/>
        <v>0.05</v>
      </c>
      <c r="AI23" s="39" t="s">
        <v>75</v>
      </c>
      <c r="AJ23" s="41">
        <f t="shared" si="3"/>
        <v>0.05</v>
      </c>
      <c r="AK23" s="29">
        <f>+IF(AA23="Detectivo",AK22-(SUM(AB23,AD23)*AK22),IF(AA23="Preventivo",AK22-(SUM(AB23,AD23)*AK22),AK22))</f>
        <v>0.39200000000000002</v>
      </c>
      <c r="AL23" s="127"/>
      <c r="AM23" s="135"/>
      <c r="AN23" s="29">
        <f>+IF(AA23="Correctivo",AN22-(SUM(AB23,AD23)*AN22),AN22)</f>
        <v>0.75</v>
      </c>
      <c r="AO23" s="127"/>
      <c r="AP23" s="137"/>
      <c r="AQ23" s="135"/>
      <c r="AR23" s="109"/>
      <c r="AS23" s="109"/>
      <c r="AT23" s="53">
        <v>3</v>
      </c>
      <c r="AU23" s="56" t="s">
        <v>117</v>
      </c>
      <c r="AV23" s="70" t="s">
        <v>118</v>
      </c>
      <c r="AW23" s="46" t="s">
        <v>159</v>
      </c>
      <c r="AX23" s="61" t="s">
        <v>148</v>
      </c>
      <c r="AY23" s="71" t="s">
        <v>149</v>
      </c>
      <c r="AZ23" s="72"/>
      <c r="BA23" s="79"/>
      <c r="BB23" s="80"/>
      <c r="BC23" s="109"/>
    </row>
    <row r="24" spans="1:55" ht="114.75" thickBot="1" x14ac:dyDescent="0.25">
      <c r="A24" s="106" t="s">
        <v>150</v>
      </c>
      <c r="B24" s="116" t="s">
        <v>151</v>
      </c>
      <c r="C24" s="116" t="s">
        <v>66</v>
      </c>
      <c r="D24" s="116" t="s">
        <v>67</v>
      </c>
      <c r="E24" s="116" t="s">
        <v>153</v>
      </c>
      <c r="F24" s="116" t="s">
        <v>152</v>
      </c>
      <c r="G24" s="118" t="str">
        <f>+IF(OR(D24&lt;&gt;"",E24&lt;&gt;"",F24&lt;&gt;""),CONCATENATE("Posibilidad de ",D24," por ",E24," debido a ",F24),"")</f>
        <v>Posibilidad de afectación económica y reputacional por incumplimiento de los requisitos 10.2.1 y 9.1.2 en relacion a la atencion de los usuarios  debido a 1.   incumplimiento del requisito 10.2.1 en relacion con las quejas o reclamos por el servicio de alumbrado publico; en donde la entidad realizacion acciones correctivas pero no realiza analisis de causas para medidas preventivas.  
2. Incumplimento del requisito 9.1.2 por bajo indicador de nivel de satisfaccion de usuarios debido a las demoras en la ejecucion y respuesta de PQRS.</v>
      </c>
      <c r="H24" s="120" t="s">
        <v>103</v>
      </c>
      <c r="I24" s="116" t="s">
        <v>68</v>
      </c>
      <c r="J24" s="116" t="s">
        <v>69</v>
      </c>
      <c r="K24" s="116" t="s">
        <v>154</v>
      </c>
      <c r="L24" s="116" t="s">
        <v>124</v>
      </c>
      <c r="M24" s="126">
        <f>+IF(K24="Máximo 2 veces",0.2,IF(K24="Entre 3 a 24 veces",0.4,IF(K24="Entre 24 a 500 veces",0.6,IF(K24="Entre 500 a 5000 veces",0.8,IF(K24="Mas de 5000 veces",1,"")))))</f>
        <v>0.2</v>
      </c>
      <c r="N24" s="118" t="str">
        <f>+IF(M24="","",IF(M24&gt;0.8,"Muy Alta",IF(AND(M24&lt;=0.8,M24&gt;0.6),"Alta",IF(AND(M24&lt;=0.6,M24&gt;0.4),"Media",IF(AND(M24&lt;=0.4,M24&gt;0.2),"Baja","Muy Baja")))))</f>
        <v>Muy Baja</v>
      </c>
      <c r="O24" s="126">
        <f>+IF(L24="Menor a 10 SMLMV o afectación a un área/proceso",0.2,IF(L24="Entre 10 y 50 SMLMV o afectación interna",0.4,IF(L24="Entre 50 y 100 SMLMV o afectación con algunos usuarios",0.6,IF(L24="Entre 100 y 500 SMLMV o fectación a nivel municipal/departamental",0.8,IF(L24="Mayor a 500 SMLMV o afectación nacional",1,"")))))</f>
        <v>1</v>
      </c>
      <c r="P24" s="129" t="str">
        <f>+IF(L24="Menor a 10 SMLMV o afectación a un área/proceso","Leve",IF(L24="Entre 10 y 50 SMLMV o afectación interna","Menor",IF(L24="Entre 50 y 100 SMLMV o afectación con algunos usuarios","Moderado",IF(L24="Entre 100 y 500 SMLMV o fectación a nivel municipal/departamental","Mayor",IF(L24="Mayor a 500 SMLMV o afectación nacional","Catastrófico","")))))</f>
        <v>Catastrófico</v>
      </c>
      <c r="Q24" s="118" t="str">
        <f>+IF(OR(K24="",L24=""),"",IF(AND(P24="Catastrófico",N24&lt;&gt;""),"Extremo",IF(AND(P24="Mayor",N24&lt;&gt;""),"Alto",IF(AND(N24="Muy Alta",O24&gt;0.1,O24&lt;0.7),"Alto",IF(AND(N24="Alta",P24="Moderado"),"Alto",IF(O24*M24&lt;0.1,"Bajo",IF(AND(N24="Alta",O24&lt;0.5),"Moderado",IF(AND(N24="Media",O24&lt;0.7),"Moderado",IF(AND(N24="Baja",OR(P24="Moderado",P24="Menor")),"Moderado",IF(AND(N24="Muy Baja",P24="Moderado"),"Moderado",))))))))))</f>
        <v>Extremo</v>
      </c>
      <c r="R24" s="116" t="s">
        <v>76</v>
      </c>
      <c r="S24" s="116" t="s">
        <v>70</v>
      </c>
      <c r="T24" s="131"/>
      <c r="U24" s="26">
        <v>1</v>
      </c>
      <c r="V24" s="76" t="s">
        <v>89</v>
      </c>
      <c r="W24" s="77" t="s">
        <v>157</v>
      </c>
      <c r="X24" s="77" t="s">
        <v>158</v>
      </c>
      <c r="Y24" s="73" t="str">
        <f t="shared" si="5"/>
        <v xml:space="preserve">Profesional universitario 219-01 dirección administrativa – grupo de gestión documental y atención al ciudadanoCapacitar al personal en gestion de PQRS y tiempos de respuestacon el fin de concientizar a los funcionarios de la responsabilidad de atender </v>
      </c>
      <c r="Z24" s="77" t="s">
        <v>115</v>
      </c>
      <c r="AA24" s="27" t="s">
        <v>71</v>
      </c>
      <c r="AB24" s="28">
        <f>+IF(AA24="","",IF(AA24="Preventivo",0.25,IF(AA24="Detectivo",0.15,IF(AA24="Correctivo",0.1,))))</f>
        <v>0.25</v>
      </c>
      <c r="AC24" s="27" t="s">
        <v>72</v>
      </c>
      <c r="AD24" s="28">
        <f>+IF(AC24="","",IF(AC24="Automático",0.25,IF(AC24="Manual",0.15)))</f>
        <v>0.15</v>
      </c>
      <c r="AE24" s="27" t="s">
        <v>73</v>
      </c>
      <c r="AF24" s="28">
        <f>+IF(AE24="","",IF(AE24="Documentado",0.5,IF(AE24="Sin documentar",0)))</f>
        <v>0.5</v>
      </c>
      <c r="AG24" s="27" t="s">
        <v>74</v>
      </c>
      <c r="AH24" s="28">
        <f>+IF(AG24="","",IF(AG24="Continua",0.1,IF(AG24="Aleatoria",0.05)))</f>
        <v>0.1</v>
      </c>
      <c r="AI24" s="27" t="s">
        <v>75</v>
      </c>
      <c r="AJ24" s="29">
        <f>+IF(AI24="","",IF(AI24="Con registro",0.05,IF(AI24="Sin registro",0)))</f>
        <v>0.05</v>
      </c>
      <c r="AK24" s="29">
        <f>+IF(AA24="Detectivo",M24-(SUM(AB24,AD24)*M24),IF(AA24="Preventivo",M24-(SUM(AB24,AD24)*M24),M24))</f>
        <v>0.12</v>
      </c>
      <c r="AL24" s="126">
        <f>+IF(M24="","",MIN(AK24:AK26))</f>
        <v>5.8799999999999991E-2</v>
      </c>
      <c r="AM24" s="118" t="str">
        <f>+IF(AL24="","",IF(AL24&gt;0.8,"Muy Alta",IF(AND(AL24&lt;=0.8,AL24&gt;0.6),"Alta",IF(AND(AL24&lt;=0.6,AL24&gt;0.4),"Media",IF(AND(AL24&lt;=0.4,AL24&gt;0.2),"Baja","Muy Baja")))))</f>
        <v>Muy Baja</v>
      </c>
      <c r="AN24" s="78">
        <f>+IF(OR(S24="",S24="No"),O24,O24-(O24*T24))</f>
        <v>1</v>
      </c>
      <c r="AO24" s="126">
        <f>+IF(L24="","",MIN(AN25:AN26))</f>
        <v>1</v>
      </c>
      <c r="AP24" s="129" t="str">
        <f>+IF(AO24="","",IF(AO24&gt;0.8,"Catastrófico",IF(AND(AO24&lt;=0.8,AO24&gt;0.6),"Mayor",IF(AND(AO24&lt;=0.6,AO24&gt;0.4),"Moderado",IF(AND(AO24&lt;=0.4,AO24&gt;0.2),"Menor","Leve")))))</f>
        <v>Catastrófico</v>
      </c>
      <c r="AQ24" s="118" t="str">
        <f t="shared" ref="AQ24" si="13">+IF(OR(AL24="",AO24=""),"",IF(AND(AP24="Catastrófico",AM24&lt;&gt;""),"Extremo",IF(AND(AP24="Mayor",AM24&lt;&gt;""),"Alto",IF(AND(AM24="Muy Alta",AO24&gt;0.1,AO24&lt;0.7),"Alto",IF(AND(AM24="Alta",AP24="Moderado"),"Alto",IF(AO24*AL24&lt;0.1,"Bajo",IF(AND(AM24="Alta",AO24&lt;0.5),"Moderado",IF(AND(AM24="Media",AO24&lt;0.7),"Moderado",IF(AND(AM24="Baja",OR(AP24="Moderado",AP24="Menor")),"Moderado",IF(AND(AM24="Muy Baja",AP24="Moderado"),"Moderado",))))))))))</f>
        <v>Extremo</v>
      </c>
      <c r="AR24" s="113" t="s">
        <v>186</v>
      </c>
      <c r="AS24" s="115"/>
      <c r="AT24" s="31">
        <v>1</v>
      </c>
      <c r="AU24" s="76" t="s">
        <v>164</v>
      </c>
      <c r="AV24" s="76" t="s">
        <v>118</v>
      </c>
      <c r="AW24" s="46" t="s">
        <v>159</v>
      </c>
      <c r="AX24" s="75" t="s">
        <v>165</v>
      </c>
      <c r="AY24" s="75" t="s">
        <v>126</v>
      </c>
      <c r="AZ24" s="76"/>
      <c r="BA24" s="79"/>
      <c r="BB24" s="80"/>
      <c r="BC24" s="109"/>
    </row>
    <row r="25" spans="1:55" ht="114.75" thickBot="1" x14ac:dyDescent="0.25">
      <c r="A25" s="107"/>
      <c r="B25" s="109"/>
      <c r="C25" s="109"/>
      <c r="D25" s="109"/>
      <c r="E25" s="109"/>
      <c r="F25" s="109"/>
      <c r="G25" s="111"/>
      <c r="H25" s="121"/>
      <c r="I25" s="109"/>
      <c r="J25" s="109"/>
      <c r="K25" s="109"/>
      <c r="L25" s="109"/>
      <c r="M25" s="110"/>
      <c r="N25" s="111"/>
      <c r="O25" s="110"/>
      <c r="P25" s="112"/>
      <c r="Q25" s="111"/>
      <c r="R25" s="109"/>
      <c r="S25" s="109"/>
      <c r="T25" s="132"/>
      <c r="U25" s="33">
        <v>2</v>
      </c>
      <c r="V25" s="76" t="s">
        <v>89</v>
      </c>
      <c r="W25" s="77" t="s">
        <v>160</v>
      </c>
      <c r="X25" s="77" t="s">
        <v>161</v>
      </c>
      <c r="Y25" s="73" t="str">
        <f t="shared" ref="Y25:Y29" si="14">CONCATENATE(V25,W25,X25)</f>
        <v xml:space="preserve">Profesional universitario 219-01 dirección administrativa – grupo de gestión documental y atención al ciudadanoSolicitar a la oficina de control interno de gestion auditorias internas en gestion de Atencion al ciudadano con el fin de verificar el cumplimiento en las respuestas de PQRS y los parametros de atencion de los canales </v>
      </c>
      <c r="Z25" s="77" t="s">
        <v>115</v>
      </c>
      <c r="AA25" s="34" t="s">
        <v>78</v>
      </c>
      <c r="AB25" s="35">
        <f t="shared" ref="AB25:AB26" si="15">+IF(AA25="","",IF(AA25="Preventivo",0.25,IF(AA25="Detectivo",0.15,IF(AA25="Correctivo",0.1,))))</f>
        <v>0.15</v>
      </c>
      <c r="AC25" s="34" t="s">
        <v>72</v>
      </c>
      <c r="AD25" s="35">
        <f t="shared" ref="AD25:AD26" si="16">+IF(AC25="","",IF(AC25="Automático",0.25,IF(AC25="Manual",0.15)))</f>
        <v>0.15</v>
      </c>
      <c r="AE25" s="34" t="s">
        <v>73</v>
      </c>
      <c r="AF25" s="35">
        <f t="shared" ref="AF25:AF26" si="17">+IF(AE25="","",IF(AE25="Documentado",0.5,IF(AE25="Sin documentar",0)))</f>
        <v>0.5</v>
      </c>
      <c r="AG25" s="34" t="s">
        <v>77</v>
      </c>
      <c r="AH25" s="35">
        <f t="shared" ref="AH25:AH26" si="18">+IF(AG25="","",IF(AG25="Continua",0.1,IF(AG25="Aleatoria",0.05)))</f>
        <v>0.05</v>
      </c>
      <c r="AI25" s="34" t="s">
        <v>75</v>
      </c>
      <c r="AJ25" s="36">
        <f t="shared" ref="AJ25:AJ26" si="19">+IF(AI25="","",IF(AI25="Con registro",0.05,IF(AI25="Sin registro",0)))</f>
        <v>0.05</v>
      </c>
      <c r="AK25" s="29">
        <f>+IF(AA25="Detectivo",AK24-(SUM(AB25,AD25)*AK24),IF(AA25="Preventivo",AK24-(SUM(AB25,AD25)*AK24),AK24))</f>
        <v>8.3999999999999991E-2</v>
      </c>
      <c r="AL25" s="110"/>
      <c r="AM25" s="111"/>
      <c r="AN25" s="29">
        <f>+IF(AA25="Correctivo",AN24-(SUM(AB25,AD25)*AN24),AN24)</f>
        <v>1</v>
      </c>
      <c r="AO25" s="110"/>
      <c r="AP25" s="112"/>
      <c r="AQ25" s="111"/>
      <c r="AR25" s="113"/>
      <c r="AS25" s="109"/>
      <c r="AT25" s="37">
        <v>2</v>
      </c>
      <c r="AU25" s="76" t="s">
        <v>187</v>
      </c>
      <c r="AV25" s="76" t="s">
        <v>118</v>
      </c>
      <c r="AW25" s="46" t="s">
        <v>159</v>
      </c>
      <c r="AX25" s="76" t="s">
        <v>147</v>
      </c>
      <c r="AY25" s="75" t="s">
        <v>126</v>
      </c>
      <c r="AZ25" s="76"/>
      <c r="BA25" s="79"/>
      <c r="BB25" s="80"/>
      <c r="BC25" s="109"/>
    </row>
    <row r="26" spans="1:55" ht="114.75" thickBot="1" x14ac:dyDescent="0.25">
      <c r="A26" s="108"/>
      <c r="B26" s="117"/>
      <c r="C26" s="117"/>
      <c r="D26" s="117"/>
      <c r="E26" s="117"/>
      <c r="F26" s="117"/>
      <c r="G26" s="119"/>
      <c r="H26" s="121"/>
      <c r="I26" s="117"/>
      <c r="J26" s="117"/>
      <c r="K26" s="117"/>
      <c r="L26" s="117"/>
      <c r="M26" s="128"/>
      <c r="N26" s="119"/>
      <c r="O26" s="128"/>
      <c r="P26" s="130"/>
      <c r="Q26" s="119"/>
      <c r="R26" s="117"/>
      <c r="S26" s="117"/>
      <c r="T26" s="133"/>
      <c r="U26" s="38">
        <v>3</v>
      </c>
      <c r="V26" s="76" t="s">
        <v>89</v>
      </c>
      <c r="W26" s="86" t="s">
        <v>162</v>
      </c>
      <c r="X26" s="77" t="s">
        <v>163</v>
      </c>
      <c r="Y26" s="73" t="str">
        <f t="shared" si="14"/>
        <v xml:space="preserve">Profesional universitario 219-01 dirección administrativa – grupo de gestión documental y atención al ciudadanoSolicitar a la oficina de control disciplinario acompañamiento en la revision del incumplimiento de las funciones de atencion al ciudadanopara garantizar el debido proceso </v>
      </c>
      <c r="Z26" s="77" t="s">
        <v>115</v>
      </c>
      <c r="AA26" s="39" t="s">
        <v>78</v>
      </c>
      <c r="AB26" s="40">
        <f t="shared" si="15"/>
        <v>0.15</v>
      </c>
      <c r="AC26" s="39" t="s">
        <v>72</v>
      </c>
      <c r="AD26" s="40">
        <f t="shared" si="16"/>
        <v>0.15</v>
      </c>
      <c r="AE26" s="39" t="s">
        <v>73</v>
      </c>
      <c r="AF26" s="40">
        <f t="shared" si="17"/>
        <v>0.5</v>
      </c>
      <c r="AG26" s="39" t="s">
        <v>77</v>
      </c>
      <c r="AH26" s="40">
        <f t="shared" si="18"/>
        <v>0.05</v>
      </c>
      <c r="AI26" s="39" t="s">
        <v>75</v>
      </c>
      <c r="AJ26" s="41">
        <f t="shared" si="19"/>
        <v>0.05</v>
      </c>
      <c r="AK26" s="29">
        <f>+IF(AA26="Detectivo",AK25-(SUM(AB26,AD26)*AK25),IF(AA26="Preventivo",AK25-(SUM(AB26,AD26)*AK25),AK25))</f>
        <v>5.8799999999999991E-2</v>
      </c>
      <c r="AL26" s="128"/>
      <c r="AM26" s="119"/>
      <c r="AN26" s="104">
        <f>+IF(AA26="Correctivo",AN25-(SUM(AB26,AD26)*AN25),AN25)</f>
        <v>1</v>
      </c>
      <c r="AO26" s="128"/>
      <c r="AP26" s="130"/>
      <c r="AQ26" s="119"/>
      <c r="AR26" s="114"/>
      <c r="AS26" s="109"/>
      <c r="AT26" s="53">
        <v>3</v>
      </c>
      <c r="AU26" s="74" t="s">
        <v>188</v>
      </c>
      <c r="AV26" s="76" t="s">
        <v>118</v>
      </c>
      <c r="AW26" s="46" t="s">
        <v>159</v>
      </c>
      <c r="AX26" s="76" t="s">
        <v>148</v>
      </c>
      <c r="AY26" s="75" t="s">
        <v>149</v>
      </c>
      <c r="AZ26" s="76"/>
      <c r="BA26" s="79"/>
      <c r="BB26" s="80"/>
      <c r="BC26" s="109"/>
    </row>
    <row r="27" spans="1:55" ht="114.75" thickBot="1" x14ac:dyDescent="0.25">
      <c r="A27" s="195" t="s">
        <v>166</v>
      </c>
      <c r="B27" s="109" t="s">
        <v>155</v>
      </c>
      <c r="C27" s="109" t="s">
        <v>156</v>
      </c>
      <c r="D27" s="109" t="s">
        <v>67</v>
      </c>
      <c r="E27" s="109" t="s">
        <v>167</v>
      </c>
      <c r="F27" s="109" t="s">
        <v>168</v>
      </c>
      <c r="G27" s="111" t="str">
        <f>+IF(OR(D27&lt;&gt;"",E27&lt;&gt;"",F27&lt;&gt;""),CONCATENATE("Posibilidad de ",D27," por ",E27," debido a ",F27),"")</f>
        <v>Posibilidad de afectación económica y reputacional por Inadecuado cierre de PQRS en plataforma debido a 1.   se ha evidenciado el cierre de PQRSD sin estar ejecutados a satisfaccion.  
2. se reciben quejas de PQRS en plataforma ejecutados y según los usuarios no han sido solucionados.</v>
      </c>
      <c r="H27" s="109" t="s">
        <v>103</v>
      </c>
      <c r="I27" s="109" t="s">
        <v>169</v>
      </c>
      <c r="J27" s="109" t="s">
        <v>170</v>
      </c>
      <c r="K27" s="109" t="s">
        <v>171</v>
      </c>
      <c r="L27" s="109" t="s">
        <v>172</v>
      </c>
      <c r="M27" s="110">
        <f>+IF(K27="Máximo 2 veces",0.2,IF(K27="Entre 3 a 24 veces",0.4,IF(K27="Entre 24 a 500 veces",0.6,IF(K27="Entre 500 a 5000 veces",0.8,IF(K27="Mas de 5000 veces",1,"")))))</f>
        <v>0.4</v>
      </c>
      <c r="N27" s="111" t="str">
        <f>+IF(M27="","",IF(M27&gt;0.8,"Muy Alta",IF(AND(M27&lt;=0.8,M27&gt;0.6),"Alta",IF(AND(M27&lt;=0.6,M27&gt;0.4),"Media",IF(AND(M27&lt;=0.4,M27&gt;0.2),"Baja","Muy Baja")))))</f>
        <v>Baja</v>
      </c>
      <c r="O27" s="110">
        <f>+IF(L27="Menor a 10 SMLMV o afectación a un área/proceso",0.2,IF(L27="Entre 10 y 50 SMLMV o afectación interna",0.4,IF(L27="Entre 50 y 100 SMLMV o afectación con algunos usuarios",0.6,IF(L27="Entre 100 y 500 SMLMV o fectación a nivel municipal/departamental",0.8,IF(L27="Mayor a 500 SMLMV o afectación nacional",1,"")))))</f>
        <v>0.6</v>
      </c>
      <c r="P27" s="112" t="str">
        <f>+IF(L27="Menor a 10 SMLMV o afectación a un área/proceso","Leve",IF(L27="Entre 10 y 50 SMLMV o afectación interna","Menor",IF(L27="Entre 50 y 100 SMLMV o afectación con algunos usuarios","Moderado",IF(L27="Entre 100 y 500 SMLMV o fectación a nivel municipal/departamental","Mayor",IF(L27="Mayor a 500 SMLMV o afectación nacional","Catastrófico","")))))</f>
        <v>Moderado</v>
      </c>
      <c r="Q27" s="111" t="str">
        <f>+IF(OR(K27="",L27=""),"",IF(AND(P27="Catastrófico",N27&lt;&gt;""),"Extremo",IF(AND(P27="Mayor",N27&lt;&gt;""),"Alto",IF(AND(N27="Muy Alta",O27&gt;0.1,O27&lt;0.7),"Alto",IF(AND(N27="Alta",P27="Moderado"),"Alto",IF(O27*M27&lt;0.1,"Bajo",IF(AND(N27="Alta",O27&lt;0.5),"Moderado",IF(AND(N27="Media",O27&lt;0.7),"Moderado",IF(AND(N27="Baja",OR(P27="Moderado",P27="Menor")),"Moderado",IF(AND(N27="Muy Baja",P27="Moderado"),"Moderado",))))))))))</f>
        <v>Moderado</v>
      </c>
      <c r="R27" s="109" t="s">
        <v>173</v>
      </c>
      <c r="S27" s="109" t="s">
        <v>174</v>
      </c>
      <c r="T27" s="132">
        <v>0.2</v>
      </c>
      <c r="U27" s="26">
        <v>1</v>
      </c>
      <c r="V27" s="76" t="s">
        <v>89</v>
      </c>
      <c r="W27" s="77" t="s">
        <v>175</v>
      </c>
      <c r="X27" s="77" t="s">
        <v>176</v>
      </c>
      <c r="Y27" s="73" t="str">
        <f t="shared" si="14"/>
        <v xml:space="preserve">Profesional universitario 219-01 dirección administrativa – grupo de gestión documental y atención al ciudadanoSensibilizar al personal con respecto del manejo de la plataforma y de la imporancia de dar respuesta oportuna a los pqrsd con el fin de concientizar a los funcionarios de la responsabilidad  </v>
      </c>
      <c r="Z27" s="77" t="s">
        <v>115</v>
      </c>
      <c r="AA27" s="27" t="s">
        <v>71</v>
      </c>
      <c r="AB27" s="28">
        <f>+IF(AA27="","",IF(AA27="Preventivo",0.25,IF(AA27="Detectivo",0.15,IF(AA27="Correctivo",0.1,))))</f>
        <v>0.25</v>
      </c>
      <c r="AC27" s="27" t="s">
        <v>72</v>
      </c>
      <c r="AD27" s="28">
        <f>+IF(AC27="","",IF(AC27="Automático",0.25,IF(AC27="Manual",0.15)))</f>
        <v>0.15</v>
      </c>
      <c r="AE27" s="27" t="s">
        <v>73</v>
      </c>
      <c r="AF27" s="28">
        <f>+IF(AE27="","",IF(AE27="Documentado",0.5,IF(AE27="Sin documentar",0)))</f>
        <v>0.5</v>
      </c>
      <c r="AG27" s="27" t="s">
        <v>74</v>
      </c>
      <c r="AH27" s="28">
        <f>+IF(AG27="","",IF(AG27="Continua",0.1,IF(AG27="Aleatoria",0.05)))</f>
        <v>0.1</v>
      </c>
      <c r="AI27" s="27" t="s">
        <v>75</v>
      </c>
      <c r="AJ27" s="29">
        <f>+IF(AI27="","",IF(AI27="Con registro",0.05,IF(AI27="Sin registro",0)))</f>
        <v>0.05</v>
      </c>
      <c r="AK27" s="29">
        <f>+IF(AA27="Detectivo",M27-(SUM(AB27,AD27)*M27),IF(AA27="Preventivo",M27-(SUM(AB27,AD27)*M27),M27))</f>
        <v>0.24</v>
      </c>
      <c r="AL27" s="110">
        <f>+IF(M27="","",MIN(AK27:AK28))</f>
        <v>0.16799999999999998</v>
      </c>
      <c r="AM27" s="111" t="str">
        <f>+IF(AL27="","",IF(AL27&gt;0.8,"Muy Alta",IF(AND(AL27&lt;=0.8,AL27&gt;0.6),"Alta",IF(AND(AL27&lt;=0.6,AL27&gt;0.4),"Media",IF(AND(AL27&lt;=0.4,AL27&gt;0.2),"Baja","Muy Baja")))))</f>
        <v>Muy Baja</v>
      </c>
      <c r="AN27" s="103">
        <f>+IF(OR(S27="",S27="No"),O27,O27-(O27*T27))</f>
        <v>0.48</v>
      </c>
      <c r="AO27" s="110">
        <f>+IF(L27="","",MIN(AN28:AN28))</f>
        <v>0.48</v>
      </c>
      <c r="AP27" s="112" t="str">
        <f>+IF(AO27="","",IF(AO27&gt;0.8,"Catastrófico",IF(AND(AO27&lt;=0.8,AO27&gt;0.6),"Mayor",IF(AND(AO27&lt;=0.6,AO27&gt;0.4),"Moderado",IF(AND(AO27&lt;=0.4,AO27&gt;0.2),"Menor","Leve")))))</f>
        <v>Moderado</v>
      </c>
      <c r="AQ27" s="111" t="str">
        <f t="shared" ref="AQ27" si="20">+IF(OR(AL27="",AO27=""),"",IF(AND(AP27="Catastrófico",AM27&lt;&gt;""),"Extremo",IF(AND(AP27="Mayor",AM27&lt;&gt;""),"Alto",IF(AND(AM27="Muy Alta",AO27&gt;0.1,AO27&lt;0.7),"Alto",IF(AND(AM27="Alta",AP27="Moderado"),"Alto",IF(AO27*AL27&lt;0.1,"Bajo",IF(AND(AM27="Alta",AO27&lt;0.5),"Moderado",IF(AND(AM27="Media",AO27&lt;0.7),"Moderado",IF(AND(AM27="Baja",OR(AP27="Moderado",AP27="Menor")),"Moderado",IF(AND(AM27="Muy Baja",AP27="Moderado"),"Moderado",))))))))))</f>
        <v>Bajo</v>
      </c>
      <c r="AR27" s="113" t="s">
        <v>191</v>
      </c>
      <c r="AS27" s="115"/>
      <c r="AT27" s="31">
        <v>1</v>
      </c>
      <c r="AU27" s="76" t="s">
        <v>179</v>
      </c>
      <c r="AV27" s="76" t="s">
        <v>118</v>
      </c>
      <c r="AW27" s="46" t="s">
        <v>159</v>
      </c>
      <c r="AX27" s="75" t="s">
        <v>165</v>
      </c>
      <c r="AY27" s="75" t="s">
        <v>180</v>
      </c>
      <c r="AZ27" s="76"/>
      <c r="BA27" s="79"/>
      <c r="BB27" s="80"/>
      <c r="BC27" s="109"/>
    </row>
    <row r="28" spans="1:55" ht="114.75" thickBot="1" x14ac:dyDescent="0.25">
      <c r="A28" s="195"/>
      <c r="B28" s="109"/>
      <c r="C28" s="109"/>
      <c r="D28" s="109"/>
      <c r="E28" s="109"/>
      <c r="F28" s="109"/>
      <c r="G28" s="111"/>
      <c r="H28" s="109"/>
      <c r="I28" s="109"/>
      <c r="J28" s="109"/>
      <c r="K28" s="109"/>
      <c r="L28" s="109"/>
      <c r="M28" s="110"/>
      <c r="N28" s="111"/>
      <c r="O28" s="110"/>
      <c r="P28" s="112"/>
      <c r="Q28" s="111"/>
      <c r="R28" s="109"/>
      <c r="S28" s="109"/>
      <c r="T28" s="132"/>
      <c r="U28" s="33">
        <v>2</v>
      </c>
      <c r="V28" s="76" t="s">
        <v>89</v>
      </c>
      <c r="W28" s="86" t="s">
        <v>178</v>
      </c>
      <c r="X28" s="77" t="s">
        <v>177</v>
      </c>
      <c r="Y28" s="73" t="str">
        <f t="shared" si="14"/>
        <v xml:space="preserve">Profesional universitario 219-01 dirección administrativa – grupo de gestión documental y atención al ciudadanoSolicitar a la oficina de control disciplinario la revision de los casos en donde se evidencie cierre de PQRS sin ejecucion con el fin de verificar la responsabilidad de cada funcionario y dependencia </v>
      </c>
      <c r="Z28" s="77" t="s">
        <v>115</v>
      </c>
      <c r="AA28" s="34" t="s">
        <v>78</v>
      </c>
      <c r="AB28" s="35">
        <f t="shared" ref="AB28" si="21">+IF(AA28="","",IF(AA28="Preventivo",0.25,IF(AA28="Detectivo",0.15,IF(AA28="Correctivo",0.1,))))</f>
        <v>0.15</v>
      </c>
      <c r="AC28" s="34" t="s">
        <v>72</v>
      </c>
      <c r="AD28" s="35">
        <f t="shared" ref="AD28" si="22">+IF(AC28="","",IF(AC28="Automático",0.25,IF(AC28="Manual",0.15)))</f>
        <v>0.15</v>
      </c>
      <c r="AE28" s="34" t="s">
        <v>73</v>
      </c>
      <c r="AF28" s="35">
        <f t="shared" ref="AF28" si="23">+IF(AE28="","",IF(AE28="Documentado",0.5,IF(AE28="Sin documentar",0)))</f>
        <v>0.5</v>
      </c>
      <c r="AG28" s="34" t="s">
        <v>77</v>
      </c>
      <c r="AH28" s="35">
        <f t="shared" ref="AH28" si="24">+IF(AG28="","",IF(AG28="Continua",0.1,IF(AG28="Aleatoria",0.05)))</f>
        <v>0.05</v>
      </c>
      <c r="AI28" s="34" t="s">
        <v>75</v>
      </c>
      <c r="AJ28" s="36">
        <f t="shared" ref="AJ28" si="25">+IF(AI28="","",IF(AI28="Con registro",0.05,IF(AI28="Sin registro",0)))</f>
        <v>0.05</v>
      </c>
      <c r="AK28" s="29">
        <f>+IF(AA28="Detectivo",AK27-(SUM(AB28,AD28)*AK27),IF(AA28="Preventivo",AK27-(SUM(AB28,AD28)*AK27),AK27))</f>
        <v>0.16799999999999998</v>
      </c>
      <c r="AL28" s="110"/>
      <c r="AM28" s="111"/>
      <c r="AN28" s="36">
        <f>+IF(AA28="Correctivo",AN27-(SUM(AB28,AD28)*AN27),AN27)</f>
        <v>0.48</v>
      </c>
      <c r="AO28" s="110"/>
      <c r="AP28" s="112"/>
      <c r="AQ28" s="111"/>
      <c r="AR28" s="113"/>
      <c r="AS28" s="115"/>
      <c r="AT28" s="37">
        <v>2</v>
      </c>
      <c r="AU28" s="76" t="s">
        <v>181</v>
      </c>
      <c r="AV28" s="76" t="s">
        <v>118</v>
      </c>
      <c r="AW28" s="46" t="s">
        <v>159</v>
      </c>
      <c r="AX28" s="76" t="s">
        <v>147</v>
      </c>
      <c r="AY28" s="75" t="s">
        <v>126</v>
      </c>
      <c r="AZ28" s="76"/>
      <c r="BA28" s="79"/>
      <c r="BB28" s="80"/>
      <c r="BC28" s="109"/>
    </row>
    <row r="29" spans="1:55" ht="86.25" thickBot="1" x14ac:dyDescent="0.25">
      <c r="A29" s="195"/>
      <c r="B29" s="109"/>
      <c r="C29" s="109"/>
      <c r="D29" s="109"/>
      <c r="E29" s="109"/>
      <c r="F29" s="109"/>
      <c r="G29" s="111"/>
      <c r="H29" s="109"/>
      <c r="I29" s="109"/>
      <c r="J29" s="109"/>
      <c r="K29" s="109"/>
      <c r="L29" s="109"/>
      <c r="M29" s="110"/>
      <c r="N29" s="111"/>
      <c r="O29" s="110"/>
      <c r="P29" s="112"/>
      <c r="Q29" s="111"/>
      <c r="R29" s="109"/>
      <c r="S29" s="109"/>
      <c r="T29" s="132"/>
      <c r="U29" s="33">
        <v>3</v>
      </c>
      <c r="V29" s="101" t="s">
        <v>89</v>
      </c>
      <c r="W29" s="86" t="s">
        <v>192</v>
      </c>
      <c r="X29" s="102" t="s">
        <v>189</v>
      </c>
      <c r="Y29" s="99" t="str">
        <f t="shared" si="14"/>
        <v xml:space="preserve">Profesional universitario 219-01 dirección administrativa – grupo de gestión documental y atención al ciudadanoverificacion aleatoria de lo pqrsd cerrados incompletos, a traves de muestras Con el fin de garantizar el cierre correcto de cada pqr </v>
      </c>
      <c r="Z29" s="102" t="s">
        <v>190</v>
      </c>
      <c r="AA29" s="34" t="s">
        <v>78</v>
      </c>
      <c r="AB29" s="35">
        <f t="shared" ref="AB29" si="26">+IF(AA29="","",IF(AA29="Preventivo",0.25,IF(AA29="Detectivo",0.15,IF(AA29="Correctivo",0.1,))))</f>
        <v>0.15</v>
      </c>
      <c r="AC29" s="34" t="s">
        <v>72</v>
      </c>
      <c r="AD29" s="35">
        <f t="shared" ref="AD29" si="27">+IF(AC29="","",IF(AC29="Automático",0.25,IF(AC29="Manual",0.15)))</f>
        <v>0.15</v>
      </c>
      <c r="AE29" s="34" t="s">
        <v>73</v>
      </c>
      <c r="AF29" s="35">
        <f t="shared" ref="AF29" si="28">+IF(AE29="","",IF(AE29="Documentado",0.5,IF(AE29="Sin documentar",0)))</f>
        <v>0.5</v>
      </c>
      <c r="AG29" s="34" t="s">
        <v>77</v>
      </c>
      <c r="AH29" s="35">
        <f t="shared" ref="AH29" si="29">+IF(AG29="","",IF(AG29="Continua",0.1,IF(AG29="Aleatoria",0.05)))</f>
        <v>0.05</v>
      </c>
      <c r="AI29" s="34" t="s">
        <v>75</v>
      </c>
      <c r="AJ29" s="36">
        <f t="shared" ref="AJ29" si="30">+IF(AI29="","",IF(AI29="Con registro",0.05,IF(AI29="Sin registro",0)))</f>
        <v>0.05</v>
      </c>
      <c r="AK29" s="29">
        <f>+IF(AA29="Detectivo",AK28-(SUM(AB29,AD29)*AK28),IF(AA29="Preventivo",AK28-(SUM(AB29,AD29)*AK28),AK28))</f>
        <v>0.11759999999999998</v>
      </c>
      <c r="AL29" s="110"/>
      <c r="AM29" s="111"/>
      <c r="AN29" s="105"/>
      <c r="AO29" s="110"/>
      <c r="AP29" s="112"/>
      <c r="AQ29" s="111"/>
      <c r="AR29" s="113"/>
      <c r="AS29" s="115"/>
      <c r="AT29" s="37">
        <v>3</v>
      </c>
      <c r="AU29" s="101" t="s">
        <v>193</v>
      </c>
      <c r="AV29" s="101" t="s">
        <v>118</v>
      </c>
      <c r="AW29" s="46" t="s">
        <v>194</v>
      </c>
      <c r="AX29" s="101" t="s">
        <v>147</v>
      </c>
      <c r="AY29" s="100" t="s">
        <v>126</v>
      </c>
      <c r="AZ29" s="101"/>
      <c r="BA29" s="79"/>
      <c r="BB29" s="80"/>
    </row>
  </sheetData>
  <sheetProtection formatCells="0" formatColumns="0" formatRows="0" insertColumns="0" insertRows="0" insertHyperlinks="0" deleteColumns="0" deleteRows="0" sort="0" autoFilter="0" pivotTables="0"/>
  <dataConsolidate/>
  <mergeCells count="168">
    <mergeCell ref="AM27:AM29"/>
    <mergeCell ref="AO27:AO29"/>
    <mergeCell ref="AP27:AP29"/>
    <mergeCell ref="AQ27:AQ29"/>
    <mergeCell ref="AR27:AR29"/>
    <mergeCell ref="AS27:AS29"/>
    <mergeCell ref="D27:D29"/>
    <mergeCell ref="E27:E29"/>
    <mergeCell ref="F27:F29"/>
    <mergeCell ref="G27:G29"/>
    <mergeCell ref="H27:H29"/>
    <mergeCell ref="I27:I29"/>
    <mergeCell ref="S27:S29"/>
    <mergeCell ref="T27:T29"/>
    <mergeCell ref="AL27:AL29"/>
    <mergeCell ref="AO15:AO18"/>
    <mergeCell ref="AP15:AP18"/>
    <mergeCell ref="AQ15:AQ18"/>
    <mergeCell ref="AR15:AR18"/>
    <mergeCell ref="AS15:AS18"/>
    <mergeCell ref="A1:D4"/>
    <mergeCell ref="BB13:BB14"/>
    <mergeCell ref="AQ19:AQ20"/>
    <mergeCell ref="AR19:AR20"/>
    <mergeCell ref="AS19:AS20"/>
    <mergeCell ref="A12:Q12"/>
    <mergeCell ref="AT13:AZ13"/>
    <mergeCell ref="M14:N14"/>
    <mergeCell ref="AL14:AM14"/>
    <mergeCell ref="AO14:AP14"/>
    <mergeCell ref="O14:P14"/>
    <mergeCell ref="AE13:AJ13"/>
    <mergeCell ref="AA13:AD13"/>
    <mergeCell ref="R12:AZ12"/>
    <mergeCell ref="C15:C17"/>
    <mergeCell ref="J15:J17"/>
    <mergeCell ref="G15:G17"/>
    <mergeCell ref="F15:F17"/>
    <mergeCell ref="E15:E17"/>
    <mergeCell ref="D15:D17"/>
    <mergeCell ref="H15:H17"/>
    <mergeCell ref="E1:BB2"/>
    <mergeCell ref="E3:BB4"/>
    <mergeCell ref="BC13:BC14"/>
    <mergeCell ref="D6:BC6"/>
    <mergeCell ref="D8:BC8"/>
    <mergeCell ref="D10:BC10"/>
    <mergeCell ref="BA12:BC12"/>
    <mergeCell ref="U13:Z13"/>
    <mergeCell ref="AK13:AQ13"/>
    <mergeCell ref="M13:Q13"/>
    <mergeCell ref="R13:T13"/>
    <mergeCell ref="A13:G13"/>
    <mergeCell ref="I15:I17"/>
    <mergeCell ref="S15:S17"/>
    <mergeCell ref="T15:T17"/>
    <mergeCell ref="AR13:AS13"/>
    <mergeCell ref="H13:L13"/>
    <mergeCell ref="BA13:BA14"/>
    <mergeCell ref="N15:N17"/>
    <mergeCell ref="M15:M17"/>
    <mergeCell ref="K15:K17"/>
    <mergeCell ref="B15:B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AL15:AL18"/>
    <mergeCell ref="AM15:AM18"/>
    <mergeCell ref="F21:F23"/>
    <mergeCell ref="G21:G23"/>
    <mergeCell ref="H21:H23"/>
    <mergeCell ref="I21:I23"/>
    <mergeCell ref="J21:J23"/>
    <mergeCell ref="K21:K23"/>
    <mergeCell ref="B21:B23"/>
    <mergeCell ref="C21:C23"/>
    <mergeCell ref="L21:L23"/>
    <mergeCell ref="N21:N23"/>
    <mergeCell ref="T19:T20"/>
    <mergeCell ref="AL19:AL20"/>
    <mergeCell ref="AM19:AM20"/>
    <mergeCell ref="J19:J20"/>
    <mergeCell ref="K19:K20"/>
    <mergeCell ref="L19:L20"/>
    <mergeCell ref="M19:M20"/>
    <mergeCell ref="N19:N20"/>
    <mergeCell ref="R15:R17"/>
    <mergeCell ref="Q15:Q17"/>
    <mergeCell ref="P15:P17"/>
    <mergeCell ref="O15:O17"/>
    <mergeCell ref="AO19:AO20"/>
    <mergeCell ref="AP19:AP20"/>
    <mergeCell ref="O19:O20"/>
    <mergeCell ref="P19:P20"/>
    <mergeCell ref="Q19:Q20"/>
    <mergeCell ref="R19:R20"/>
    <mergeCell ref="S19:S20"/>
    <mergeCell ref="BC21:BC23"/>
    <mergeCell ref="A6:C6"/>
    <mergeCell ref="A8:C8"/>
    <mergeCell ref="A10:C10"/>
    <mergeCell ref="AQ21:AQ23"/>
    <mergeCell ref="AR21:AR23"/>
    <mergeCell ref="AS21:AS23"/>
    <mergeCell ref="T21:T23"/>
    <mergeCell ref="AL21:AL23"/>
    <mergeCell ref="AM21:AM23"/>
    <mergeCell ref="AO21:AO23"/>
    <mergeCell ref="AP21:AP23"/>
    <mergeCell ref="O21:O23"/>
    <mergeCell ref="P21:P23"/>
    <mergeCell ref="Q21:Q23"/>
    <mergeCell ref="R21:R23"/>
    <mergeCell ref="S21:S23"/>
    <mergeCell ref="BC19:BC20"/>
    <mergeCell ref="A21:A23"/>
    <mergeCell ref="D21:D23"/>
    <mergeCell ref="E21:E23"/>
    <mergeCell ref="A15:A17"/>
    <mergeCell ref="L15:L17"/>
    <mergeCell ref="M21:M23"/>
    <mergeCell ref="AQ24:AQ26"/>
    <mergeCell ref="K24:K26"/>
    <mergeCell ref="L24:L26"/>
    <mergeCell ref="M24:M26"/>
    <mergeCell ref="N24:N26"/>
    <mergeCell ref="O24:O26"/>
    <mergeCell ref="P24:P26"/>
    <mergeCell ref="Q24:Q26"/>
    <mergeCell ref="R24:R26"/>
    <mergeCell ref="S24:S26"/>
    <mergeCell ref="T24:T26"/>
    <mergeCell ref="AL24:AL26"/>
    <mergeCell ref="AM24:AM26"/>
    <mergeCell ref="AO24:AO26"/>
    <mergeCell ref="AP24:AP26"/>
    <mergeCell ref="B24:B26"/>
    <mergeCell ref="C24:C26"/>
    <mergeCell ref="A24:A26"/>
    <mergeCell ref="L27:L29"/>
    <mergeCell ref="M27:M29"/>
    <mergeCell ref="N27:N29"/>
    <mergeCell ref="O27:O29"/>
    <mergeCell ref="P27:P29"/>
    <mergeCell ref="Q27:Q29"/>
    <mergeCell ref="R27:R29"/>
    <mergeCell ref="BC27:BC28"/>
    <mergeCell ref="AR24:AR26"/>
    <mergeCell ref="AS24:AS26"/>
    <mergeCell ref="BC24:BC26"/>
    <mergeCell ref="D24:D26"/>
    <mergeCell ref="F24:F26"/>
    <mergeCell ref="G24:G26"/>
    <mergeCell ref="E24:E26"/>
    <mergeCell ref="H24:H26"/>
    <mergeCell ref="I24:I26"/>
    <mergeCell ref="J24:J26"/>
    <mergeCell ref="J27:J29"/>
    <mergeCell ref="K27:K29"/>
    <mergeCell ref="A27:A29"/>
    <mergeCell ref="B27:B29"/>
    <mergeCell ref="C27:C29"/>
  </mergeCells>
  <phoneticPr fontId="15" type="noConversion"/>
  <conditionalFormatting sqref="N15">
    <cfRule type="containsText" dxfId="72" priority="254" operator="containsText" text="Muy Baja">
      <formula>NOT(ISERROR(SEARCH("Muy Baja",N15)))</formula>
    </cfRule>
    <cfRule type="containsText" dxfId="71" priority="255" operator="containsText" text="Baja">
      <formula>NOT(ISERROR(SEARCH("Baja",N15)))</formula>
    </cfRule>
    <cfRule type="containsText" dxfId="70" priority="256" operator="containsText" text="Media">
      <formula>NOT(ISERROR(SEARCH("Media",N15)))</formula>
    </cfRule>
    <cfRule type="containsText" dxfId="69" priority="257" operator="containsText" text="Alta">
      <formula>NOT(ISERROR(SEARCH("Alta",N15)))</formula>
    </cfRule>
    <cfRule type="containsText" dxfId="68" priority="258" operator="containsText" text="Muy Alta">
      <formula>NOT(ISERROR(SEARCH("Muy Alta",N15)))</formula>
    </cfRule>
  </conditionalFormatting>
  <conditionalFormatting sqref="N19">
    <cfRule type="containsText" dxfId="67" priority="168" operator="containsText" text="Muy Baja">
      <formula>NOT(ISERROR(SEARCH("Muy Baja",N19)))</formula>
    </cfRule>
    <cfRule type="containsText" dxfId="66" priority="169" operator="containsText" text="Baja">
      <formula>NOT(ISERROR(SEARCH("Baja",N19)))</formula>
    </cfRule>
    <cfRule type="containsText" dxfId="65" priority="170" operator="containsText" text="Media">
      <formula>NOT(ISERROR(SEARCH("Media",N19)))</formula>
    </cfRule>
    <cfRule type="containsText" dxfId="64" priority="171" operator="containsText" text="Alta">
      <formula>NOT(ISERROR(SEARCH("Alta",N19)))</formula>
    </cfRule>
    <cfRule type="containsText" dxfId="63" priority="172" operator="containsText" text="Muy Alta">
      <formula>NOT(ISERROR(SEARCH("Muy Alta",N19)))</formula>
    </cfRule>
  </conditionalFormatting>
  <conditionalFormatting sqref="N21 N24 N27">
    <cfRule type="containsText" dxfId="62" priority="114" operator="containsText" text="Muy Baja">
      <formula>NOT(ISERROR(SEARCH("Muy Baja",N21)))</formula>
    </cfRule>
    <cfRule type="containsText" dxfId="61" priority="115" operator="containsText" text="Baja">
      <formula>NOT(ISERROR(SEARCH("Baja",N21)))</formula>
    </cfRule>
    <cfRule type="containsText" dxfId="60" priority="116" operator="containsText" text="Media">
      <formula>NOT(ISERROR(SEARCH("Media",N21)))</formula>
    </cfRule>
    <cfRule type="containsText" dxfId="59" priority="117" operator="containsText" text="Alta">
      <formula>NOT(ISERROR(SEARCH("Alta",N21)))</formula>
    </cfRule>
    <cfRule type="containsText" dxfId="58" priority="118" operator="containsText" text="Muy Alta">
      <formula>NOT(ISERROR(SEARCH("Muy Alta",N21)))</formula>
    </cfRule>
  </conditionalFormatting>
  <conditionalFormatting sqref="P15">
    <cfRule type="containsText" dxfId="57" priority="284" operator="containsText" text="Leve">
      <formula>NOT(ISERROR(SEARCH("Leve",P15)))</formula>
    </cfRule>
    <cfRule type="containsText" dxfId="56" priority="285" operator="containsText" text="Menor">
      <formula>NOT(ISERROR(SEARCH("Menor",P15)))</formula>
    </cfRule>
    <cfRule type="containsText" dxfId="55" priority="287" operator="containsText" text="Mayor">
      <formula>NOT(ISERROR(SEARCH("Mayor",P15)))</formula>
    </cfRule>
    <cfRule type="containsText" dxfId="54" priority="288" operator="containsText" text="Catastrófico">
      <formula>NOT(ISERROR(SEARCH("Catastrófico",P15)))</formula>
    </cfRule>
  </conditionalFormatting>
  <conditionalFormatting sqref="P19">
    <cfRule type="containsText" dxfId="53" priority="178" operator="containsText" text="Leve">
      <formula>NOT(ISERROR(SEARCH("Leve",P19)))</formula>
    </cfRule>
    <cfRule type="containsText" dxfId="52" priority="179" operator="containsText" text="Menor">
      <formula>NOT(ISERROR(SEARCH("Menor",P19)))</formula>
    </cfRule>
    <cfRule type="containsText" dxfId="51" priority="181" operator="containsText" text="Mayor">
      <formula>NOT(ISERROR(SEARCH("Mayor",P19)))</formula>
    </cfRule>
    <cfRule type="containsText" dxfId="50" priority="182" operator="containsText" text="Catastrófico">
      <formula>NOT(ISERROR(SEARCH("Catastrófico",P19)))</formula>
    </cfRule>
  </conditionalFormatting>
  <conditionalFormatting sqref="P21 P24 P27">
    <cfRule type="containsText" dxfId="49" priority="124" operator="containsText" text="Leve">
      <formula>NOT(ISERROR(SEARCH("Leve",P21)))</formula>
    </cfRule>
    <cfRule type="containsText" dxfId="48" priority="125" operator="containsText" text="Menor">
      <formula>NOT(ISERROR(SEARCH("Menor",P21)))</formula>
    </cfRule>
    <cfRule type="containsText" dxfId="47" priority="127" operator="containsText" text="Mayor">
      <formula>NOT(ISERROR(SEARCH("Mayor",P21)))</formula>
    </cfRule>
    <cfRule type="containsText" dxfId="46" priority="128" operator="containsText" text="Catastrófico">
      <formula>NOT(ISERROR(SEARCH("Catastrófico",P21)))</formula>
    </cfRule>
  </conditionalFormatting>
  <conditionalFormatting sqref="P15:Q15">
    <cfRule type="containsText" dxfId="45" priority="286" operator="containsText" text="Moderado">
      <formula>NOT(ISERROR(SEARCH("Moderado",P15)))</formula>
    </cfRule>
  </conditionalFormatting>
  <conditionalFormatting sqref="P19:Q19">
    <cfRule type="containsText" dxfId="44" priority="180" operator="containsText" text="Moderado">
      <formula>NOT(ISERROR(SEARCH("Moderado",P19)))</formula>
    </cfRule>
  </conditionalFormatting>
  <conditionalFormatting sqref="P21:Q21 P24:Q24 P27:Q27">
    <cfRule type="containsText" dxfId="43" priority="126" operator="containsText" text="Moderado">
      <formula>NOT(ISERROR(SEARCH("Moderado",P21)))</formula>
    </cfRule>
  </conditionalFormatting>
  <conditionalFormatting sqref="Q15">
    <cfRule type="containsText" dxfId="42" priority="293" operator="containsText" text="Bajo">
      <formula>NOT(ISERROR(SEARCH("Bajo",Q15)))</formula>
    </cfRule>
    <cfRule type="containsText" dxfId="41" priority="295" operator="containsText" text="Alto">
      <formula>NOT(ISERROR(SEARCH("Alto",Q15)))</formula>
    </cfRule>
    <cfRule type="containsText" dxfId="40" priority="296" operator="containsText" text="Extremo">
      <formula>NOT(ISERROR(SEARCH("Extremo",Q15)))</formula>
    </cfRule>
  </conditionalFormatting>
  <conditionalFormatting sqref="Q19">
    <cfRule type="containsText" dxfId="39" priority="183" operator="containsText" text="Bajo">
      <formula>NOT(ISERROR(SEARCH("Bajo",Q19)))</formula>
    </cfRule>
    <cfRule type="containsText" dxfId="38" priority="184" operator="containsText" text="Alto">
      <formula>NOT(ISERROR(SEARCH("Alto",Q19)))</formula>
    </cfRule>
    <cfRule type="containsText" dxfId="37" priority="185" operator="containsText" text="Extremo">
      <formula>NOT(ISERROR(SEARCH("Extremo",Q19)))</formula>
    </cfRule>
  </conditionalFormatting>
  <conditionalFormatting sqref="Q21 Q24 Q27">
    <cfRule type="containsText" dxfId="36" priority="129" operator="containsText" text="Bajo">
      <formula>NOT(ISERROR(SEARCH("Bajo",Q21)))</formula>
    </cfRule>
    <cfRule type="containsText" dxfId="35" priority="130" operator="containsText" text="Alto">
      <formula>NOT(ISERROR(SEARCH("Alto",Q21)))</formula>
    </cfRule>
    <cfRule type="containsText" dxfId="34" priority="131" operator="containsText" text="Extremo">
      <formula>NOT(ISERROR(SEARCH("Extremo",Q21)))</formula>
    </cfRule>
  </conditionalFormatting>
  <conditionalFormatting sqref="AM15">
    <cfRule type="containsText" dxfId="33" priority="269" operator="containsText" text="Muy Baja">
      <formula>NOT(ISERROR(SEARCH("Muy Baja",AM15)))</formula>
    </cfRule>
    <cfRule type="containsText" dxfId="32" priority="275" operator="containsText" text="Baja">
      <formula>NOT(ISERROR(SEARCH("Baja",AM15)))</formula>
    </cfRule>
    <cfRule type="containsText" dxfId="31" priority="276" operator="containsText" text="Media">
      <formula>NOT(ISERROR(SEARCH("Media",AM15)))</formula>
    </cfRule>
    <cfRule type="containsText" dxfId="30" priority="277" operator="containsText" text="Alta">
      <formula>NOT(ISERROR(SEARCH("Alta",AM15)))</formula>
    </cfRule>
    <cfRule type="containsText" dxfId="29" priority="278" operator="containsText" text="Muy Alta">
      <formula>NOT(ISERROR(SEARCH("Muy Alta",AM15)))</formula>
    </cfRule>
  </conditionalFormatting>
  <conditionalFormatting sqref="AM19">
    <cfRule type="containsText" dxfId="28" priority="173" operator="containsText" text="Muy Baja">
      <formula>NOT(ISERROR(SEARCH("Muy Baja",AM19)))</formula>
    </cfRule>
    <cfRule type="containsText" dxfId="27" priority="174" operator="containsText" text="Baja">
      <formula>NOT(ISERROR(SEARCH("Baja",AM19)))</formula>
    </cfRule>
    <cfRule type="containsText" dxfId="26" priority="175" operator="containsText" text="Media">
      <formula>NOT(ISERROR(SEARCH("Media",AM19)))</formula>
    </cfRule>
    <cfRule type="containsText" dxfId="25" priority="176" operator="containsText" text="Alta">
      <formula>NOT(ISERROR(SEARCH("Alta",AM19)))</formula>
    </cfRule>
    <cfRule type="containsText" dxfId="24" priority="177" operator="containsText" text="Muy Alta">
      <formula>NOT(ISERROR(SEARCH("Muy Alta",AM19)))</formula>
    </cfRule>
  </conditionalFormatting>
  <conditionalFormatting sqref="AM21 AM24 AM27">
    <cfRule type="containsText" dxfId="23" priority="119" operator="containsText" text="Muy Baja">
      <formula>NOT(ISERROR(SEARCH("Muy Baja",AM21)))</formula>
    </cfRule>
    <cfRule type="containsText" dxfId="22" priority="120" operator="containsText" text="Baja">
      <formula>NOT(ISERROR(SEARCH("Baja",AM21)))</formula>
    </cfRule>
    <cfRule type="containsText" dxfId="21" priority="121" operator="containsText" text="Media">
      <formula>NOT(ISERROR(SEARCH("Media",AM21)))</formula>
    </cfRule>
    <cfRule type="containsText" dxfId="20" priority="122" operator="containsText" text="Alta">
      <formula>NOT(ISERROR(SEARCH("Alta",AM21)))</formula>
    </cfRule>
    <cfRule type="containsText" dxfId="19" priority="123" operator="containsText" text="Muy Alta">
      <formula>NOT(ISERROR(SEARCH("Muy Alta",AM21)))</formula>
    </cfRule>
  </conditionalFormatting>
  <conditionalFormatting sqref="AP15">
    <cfRule type="containsText" dxfId="18" priority="240" operator="containsText" text="Leve">
      <formula>NOT(ISERROR(SEARCH("Leve",AP15)))</formula>
    </cfRule>
    <cfRule type="containsText" dxfId="17" priority="241" operator="containsText" text="Menor">
      <formula>NOT(ISERROR(SEARCH("Menor",AP15)))</formula>
    </cfRule>
    <cfRule type="containsText" dxfId="16" priority="242" operator="containsText" text="Moderado">
      <formula>NOT(ISERROR(SEARCH("Moderado",AP15)))</formula>
    </cfRule>
    <cfRule type="containsText" dxfId="15" priority="243" operator="containsText" text="Mayor">
      <formula>NOT(ISERROR(SEARCH("Mayor",AP15)))</formula>
    </cfRule>
    <cfRule type="containsText" dxfId="14" priority="244" operator="containsText" text="Catastrófico">
      <formula>NOT(ISERROR(SEARCH("Catastrófico",AP15)))</formula>
    </cfRule>
  </conditionalFormatting>
  <conditionalFormatting sqref="AP19">
    <cfRule type="containsText" dxfId="13" priority="159" operator="containsText" text="Leve">
      <formula>NOT(ISERROR(SEARCH("Leve",AP19)))</formula>
    </cfRule>
    <cfRule type="containsText" dxfId="12" priority="160" operator="containsText" text="Menor">
      <formula>NOT(ISERROR(SEARCH("Menor",AP19)))</formula>
    </cfRule>
    <cfRule type="containsText" dxfId="11" priority="162" operator="containsText" text="Mayor">
      <formula>NOT(ISERROR(SEARCH("Mayor",AP19)))</formula>
    </cfRule>
    <cfRule type="containsText" dxfId="10" priority="163" operator="containsText" text="Catastrófico">
      <formula>NOT(ISERROR(SEARCH("Catastrófico",AP19)))</formula>
    </cfRule>
  </conditionalFormatting>
  <conditionalFormatting sqref="AP21 AP24 AP27">
    <cfRule type="containsText" dxfId="9" priority="105" operator="containsText" text="Leve">
      <formula>NOT(ISERROR(SEARCH("Leve",AP21)))</formula>
    </cfRule>
    <cfRule type="containsText" dxfId="8" priority="106" operator="containsText" text="Menor">
      <formula>NOT(ISERROR(SEARCH("Menor",AP21)))</formula>
    </cfRule>
    <cfRule type="containsText" dxfId="7" priority="108" operator="containsText" text="Mayor">
      <formula>NOT(ISERROR(SEARCH("Mayor",AP21)))</formula>
    </cfRule>
    <cfRule type="containsText" dxfId="6" priority="109" operator="containsText" text="Catastrófico">
      <formula>NOT(ISERROR(SEARCH("Catastrófico",AP21)))</formula>
    </cfRule>
  </conditionalFormatting>
  <conditionalFormatting sqref="AP19:AQ19">
    <cfRule type="containsText" dxfId="5" priority="161" operator="containsText" text="Moderado">
      <formula>NOT(ISERROR(SEARCH("Moderado",AP19)))</formula>
    </cfRule>
  </conditionalFormatting>
  <conditionalFormatting sqref="AP21:AQ21 AP24:AQ24 AP27:AQ27">
    <cfRule type="containsText" dxfId="4" priority="107" operator="containsText" text="Moderado">
      <formula>NOT(ISERROR(SEARCH("Moderado",AP21)))</formula>
    </cfRule>
  </conditionalFormatting>
  <conditionalFormatting sqref="AQ15 AQ19 AQ21 AQ24 AQ27">
    <cfRule type="containsText" dxfId="3" priority="165" operator="containsText" text="Bajo">
      <formula>NOT(ISERROR(SEARCH("Bajo",AQ15)))</formula>
    </cfRule>
    <cfRule type="containsText" dxfId="2" priority="166" operator="containsText" text="Alto">
      <formula>NOT(ISERROR(SEARCH("Alto",AQ15)))</formula>
    </cfRule>
    <cfRule type="containsText" dxfId="1" priority="167" operator="containsText" text="Extremo">
      <formula>NOT(ISERROR(SEARCH("Extremo",AQ15)))</formula>
    </cfRule>
  </conditionalFormatting>
  <conditionalFormatting sqref="AQ15">
    <cfRule type="containsText" dxfId="0" priority="164" operator="containsText" text="Moderado">
      <formula>NOT(ISERROR(SEARCH("Moderado",AQ15)))</formula>
    </cfRule>
  </conditionalFormatting>
  <dataValidations count="17">
    <dataValidation type="list" allowBlank="1" showInputMessage="1" showErrorMessage="1" error="Seleccione un area de impacto" sqref="D15:D18" xr:uid="{00000000-0002-0000-0000-00000F000000}">
      <formula1>"afectación económica,afectación reputacional,afectación económica y reputacional,efecto dañoso"</formula1>
    </dataValidation>
    <dataValidation type="list" allowBlank="1" showInputMessage="1" showErrorMessage="1" error="Seleccione un tipo de riesgo" sqref="I15:I18" xr:uid="{00000000-0002-0000-0000-000010000000}">
      <formula1>"Gestión,Corrupción,Seguridad de la Información,Ambiental,Seguridad y Salud en el Trabajo,Fiscal"</formula1>
    </dataValidation>
    <dataValidation type="list" allowBlank="1" showInputMessage="1" showErrorMessage="1" sqref="AE15:AE29" xr:uid="{00000000-0002-0000-0000-000000000000}">
      <formula1>"Documentado,Sin documentar"</formula1>
    </dataValidation>
    <dataValidation type="list" allowBlank="1" showInputMessage="1" showErrorMessage="1" sqref="AG15:AG29" xr:uid="{00000000-0002-0000-0000-000001000000}">
      <formula1>"Continua,Aleatoria"</formula1>
    </dataValidation>
    <dataValidation type="list" allowBlank="1" showInputMessage="1" showErrorMessage="1" sqref="AI15:AI29" xr:uid="{00000000-0002-0000-0000-000002000000}">
      <formula1>"Con registro,Sin registro"</formula1>
    </dataValidation>
    <dataValidation type="list" allowBlank="1" showInputMessage="1" showErrorMessage="1" sqref="AC15:AC29" xr:uid="{00000000-0002-0000-0000-000003000000}">
      <formula1>"Automático,Manual"</formula1>
    </dataValidation>
    <dataValidation type="list" allowBlank="1" showInputMessage="1" showErrorMessage="1" error="Seleccione un factor de riesgo" sqref="C15:C27" xr:uid="{00000000-0002-0000-0000-000004000000}">
      <formula1>"Procesos,Talento humano,Tecnología,Infraestructura,Evento externo"</formula1>
    </dataValidation>
    <dataValidation type="list" allowBlank="1" showInputMessage="1" showErrorMessage="1" error="Seleccione un area de impacto" sqref="D19:D27" xr:uid="{00000000-0002-0000-0000-000005000000}">
      <formula1>"afectación económica,afectación reputacional,afectación económica y reputacional"</formula1>
    </dataValidation>
    <dataValidation type="list" allowBlank="1" showInputMessage="1" showErrorMessage="1" error="Seleccione una clasificación del riesgo" sqref="J15:J27" xr:uid="{00000000-0002-0000-0000-000006000000}">
      <mc:AlternateContent xmlns:x12ac="http://schemas.microsoft.com/office/spreadsheetml/2011/1/ac" xmlns:mc="http://schemas.openxmlformats.org/markup-compatibility/2006">
        <mc:Choice Requires="x12ac">
          <x12ac:list>Ejecución y administración de procesos,Fraude externo,Fraude interno,Fallas tecnológicas,Relaciones laborales,"Usuarios, productos y prácticas",Daños a activos fijos/eventos externos</x12ac:list>
        </mc:Choice>
        <mc:Fallback>
          <formula1>"Ejecución y administración de procesos,Fraude externo,Fraude interno,Fallas tecnológicas,Relaciones laborales,Usuarios, productos y prácticas,Daños a activos fijos/eventos externos"</formula1>
        </mc:Fallback>
      </mc:AlternateContent>
    </dataValidation>
    <dataValidation type="list" allowBlank="1" showInputMessage="1" showErrorMessage="1" error="Seleccione una frecuencia de la actividad en un periodo de un año" sqref="K15:K27" xr:uid="{00000000-0002-0000-0000-000007000000}">
      <formula1>"Máximo 2 veces,Entre 3 a 24 veces,Entre 24 a 500 veces,Entre 500 a 5000 veces,Mas de 5000 veces"</formula1>
    </dataValidation>
    <dataValidation type="list" allowBlank="1" showInputMessage="1" showErrorMessage="1" error="Seleccione una afectación económica y/o reputacional" sqref="L15:L27" xr:uid="{00000000-0002-0000-0000-000008000000}">
      <formula1>"Menor a 10 SMLMV o afectación a un área/proceso,Entre 10 y 50 SMLMV o afectación interna,Entre 50 y 100 SMLMV o afectación con algunos usuarios,Entre 100 y 500 SMLMV o fectación a nivel municipal/departamental,Mayor a 500 SMLMV o afectación nacional"</formula1>
    </dataValidation>
    <dataValidation type="list" allowBlank="1" showInputMessage="1" showErrorMessage="1" error="Seleccione una opción de tratamiento" sqref="R15:R27" xr:uid="{00000000-0002-0000-0000-000009000000}">
      <formula1>"Aceptar,Evitar,Compartir / Transferir,Reducir"</formula1>
    </dataValidation>
    <dataValidation type="list" allowBlank="1" showInputMessage="1" showErrorMessage="1" error="Seleccione si la posible afectación, cuenta con seguro o póliza" sqref="S15:S27" xr:uid="{00000000-0002-0000-0000-00000A000000}">
      <formula1>"Si,No"</formula1>
    </dataValidation>
    <dataValidation type="decimal" allowBlank="1" showInputMessage="1" showErrorMessage="1" error="Digite el porcentaje de la cobertura del seguro o póliza" sqref="T15:T27" xr:uid="{00000000-0002-0000-0000-00000B000000}">
      <formula1>0</formula1>
      <formula2>1</formula2>
    </dataValidation>
    <dataValidation type="list" allowBlank="1" showInputMessage="1" showErrorMessage="1" error="Seleccione el tipo de control" sqref="AA15:AA29" xr:uid="{00000000-0002-0000-0000-00000C000000}">
      <formula1>"Preventivo,Detectivo,Correctivo"</formula1>
    </dataValidation>
    <dataValidation type="list" allowBlank="1" showInputMessage="1" showErrorMessage="1" error="Seleccione el estado del plan de tratamiento" sqref="AZ15:AZ29" xr:uid="{00000000-0002-0000-0000-00000D000000}">
      <formula1>"En implementación,En ejecución,En seguimiento,Terminado"</formula1>
    </dataValidation>
    <dataValidation type="list" allowBlank="1" showInputMessage="1" showErrorMessage="1" error="Seleccione un tipo de riesgo" sqref="I19:I27" xr:uid="{00000000-0002-0000-0000-00000E000000}">
      <formula1>"Gestión,Corrupción,Seguridad de la Información,Ambiental,Laboral,Fiscal"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Castro Montealegre</dc:creator>
  <cp:lastModifiedBy>SARA LUCIA SLRB. RIVEROS BONILLA</cp:lastModifiedBy>
  <dcterms:created xsi:type="dcterms:W3CDTF">2023-04-12T21:27:57Z</dcterms:created>
  <dcterms:modified xsi:type="dcterms:W3CDTF">2025-06-16T14:54:36Z</dcterms:modified>
</cp:coreProperties>
</file>