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Users\SRIVEROS\Documents\GESTIÓN INTEGRAL DE RIESGOS\MAPAS DE RIESGOS Y OPORTUNIDADES 2025 - PARA PUBLICAR\"/>
    </mc:Choice>
  </mc:AlternateContent>
  <xr:revisionPtr revIDLastSave="0" documentId="13_ncr:1_{B5027206-4F8E-4333-A76F-4F977095FEE7}"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5" i="1" l="1"/>
  <c r="AH35" i="1"/>
  <c r="AF35" i="1"/>
  <c r="AD35" i="1"/>
  <c r="AB35" i="1"/>
  <c r="Y35" i="1"/>
  <c r="AJ34" i="1"/>
  <c r="AH34" i="1"/>
  <c r="AF34" i="1"/>
  <c r="AD34" i="1"/>
  <c r="AB34" i="1"/>
  <c r="Y34" i="1"/>
  <c r="AJ33" i="1"/>
  <c r="AH33" i="1"/>
  <c r="AF33" i="1"/>
  <c r="AD33" i="1"/>
  <c r="AB33" i="1"/>
  <c r="Y33" i="1"/>
  <c r="P33" i="1"/>
  <c r="O33" i="1"/>
  <c r="AN33" i="1" s="1"/>
  <c r="AN34" i="1" s="1"/>
  <c r="M33" i="1"/>
  <c r="N33" i="1" s="1"/>
  <c r="G33" i="1"/>
  <c r="AK33" i="1" l="1"/>
  <c r="Q33" i="1"/>
  <c r="AN35" i="1"/>
  <c r="AO33" i="1" s="1"/>
  <c r="AP33" i="1" s="1"/>
  <c r="AK34" i="1" l="1"/>
  <c r="AK35" i="1" s="1"/>
  <c r="AL33" i="1" l="1"/>
  <c r="AM33" i="1" s="1"/>
  <c r="AQ33" i="1" s="1"/>
  <c r="AJ32" i="1"/>
  <c r="AH32" i="1"/>
  <c r="AF32" i="1"/>
  <c r="AD32" i="1"/>
  <c r="AB32" i="1"/>
  <c r="AJ31" i="1"/>
  <c r="AH31" i="1"/>
  <c r="AF31" i="1"/>
  <c r="AD31" i="1"/>
  <c r="AB31" i="1"/>
  <c r="Y31" i="1"/>
  <c r="AJ30" i="1"/>
  <c r="AH30" i="1"/>
  <c r="AF30" i="1"/>
  <c r="AD30" i="1"/>
  <c r="AB30" i="1"/>
  <c r="Y30" i="1"/>
  <c r="P30" i="1"/>
  <c r="O30" i="1"/>
  <c r="AN30" i="1" s="1"/>
  <c r="AN31" i="1" s="1"/>
  <c r="M30" i="1"/>
  <c r="G30" i="1"/>
  <c r="G27" i="1"/>
  <c r="Y27" i="1"/>
  <c r="Y28" i="1"/>
  <c r="Y29" i="1"/>
  <c r="G15" i="1"/>
  <c r="Y25" i="1"/>
  <c r="Y24" i="1"/>
  <c r="AK30" i="1" l="1"/>
  <c r="AK31" i="1" s="1"/>
  <c r="AK32" i="1" s="1"/>
  <c r="AN32" i="1"/>
  <c r="AO30" i="1" s="1"/>
  <c r="AP30" i="1" s="1"/>
  <c r="N30" i="1"/>
  <c r="Q30" i="1" s="1"/>
  <c r="Y23" i="1"/>
  <c r="Y21" i="1"/>
  <c r="Y22" i="1"/>
  <c r="G21" i="1"/>
  <c r="AL30" i="1" l="1"/>
  <c r="Y20" i="1"/>
  <c r="G18" i="1"/>
  <c r="Y18" i="1"/>
  <c r="Y19" i="1"/>
  <c r="Y17" i="1"/>
  <c r="AJ29" i="1"/>
  <c r="AH29" i="1"/>
  <c r="AF29" i="1"/>
  <c r="AD29" i="1"/>
  <c r="AB29" i="1"/>
  <c r="AJ28" i="1"/>
  <c r="AH28" i="1"/>
  <c r="AF28" i="1"/>
  <c r="AD28" i="1"/>
  <c r="AB28" i="1"/>
  <c r="AJ27" i="1"/>
  <c r="AH27" i="1"/>
  <c r="AF27" i="1"/>
  <c r="AD27" i="1"/>
  <c r="AB27" i="1"/>
  <c r="P27" i="1"/>
  <c r="O27" i="1"/>
  <c r="AN27" i="1" s="1"/>
  <c r="AN28" i="1" s="1"/>
  <c r="AN29" i="1" s="1"/>
  <c r="M27" i="1"/>
  <c r="N27" i="1" s="1"/>
  <c r="AJ26" i="1"/>
  <c r="AH26" i="1"/>
  <c r="AF26" i="1"/>
  <c r="AD26" i="1"/>
  <c r="AB26" i="1"/>
  <c r="AJ25" i="1"/>
  <c r="AH25" i="1"/>
  <c r="AF25" i="1"/>
  <c r="AD25" i="1"/>
  <c r="AB25" i="1"/>
  <c r="AJ24" i="1"/>
  <c r="AH24" i="1"/>
  <c r="AF24" i="1"/>
  <c r="AD24" i="1"/>
  <c r="AB24" i="1"/>
  <c r="P24" i="1"/>
  <c r="O24" i="1"/>
  <c r="AN24" i="1" s="1"/>
  <c r="AN25" i="1" s="1"/>
  <c r="M24" i="1"/>
  <c r="G24" i="1"/>
  <c r="AJ23" i="1"/>
  <c r="AH23" i="1"/>
  <c r="AF23" i="1"/>
  <c r="AD23" i="1"/>
  <c r="AB23" i="1"/>
  <c r="AJ22" i="1"/>
  <c r="AH22" i="1"/>
  <c r="AF22" i="1"/>
  <c r="AD22" i="1"/>
  <c r="AB22" i="1"/>
  <c r="AJ21" i="1"/>
  <c r="AH21" i="1"/>
  <c r="AF21" i="1"/>
  <c r="AD21" i="1"/>
  <c r="AB21" i="1"/>
  <c r="P21" i="1"/>
  <c r="O21" i="1"/>
  <c r="AN21" i="1" s="1"/>
  <c r="AN22" i="1" s="1"/>
  <c r="M21" i="1"/>
  <c r="N21" i="1" s="1"/>
  <c r="AM30" i="1" l="1"/>
  <c r="AQ30" i="1" s="1"/>
  <c r="AK24" i="1"/>
  <c r="AK25" i="1" s="1"/>
  <c r="AK26" i="1" s="1"/>
  <c r="Q27" i="1"/>
  <c r="AK27" i="1"/>
  <c r="AK28" i="1" s="1"/>
  <c r="AK29" i="1" s="1"/>
  <c r="AO27" i="1"/>
  <c r="AP27" i="1" s="1"/>
  <c r="N24" i="1"/>
  <c r="Q24" i="1" s="1"/>
  <c r="AN26" i="1"/>
  <c r="AO24" i="1" s="1"/>
  <c r="AP24" i="1" s="1"/>
  <c r="AK21" i="1"/>
  <c r="AK22" i="1" s="1"/>
  <c r="AK23" i="1" s="1"/>
  <c r="Q21" i="1"/>
  <c r="AN23" i="1"/>
  <c r="AO21" i="1" s="1"/>
  <c r="AP21" i="1" s="1"/>
  <c r="AL24" i="1" l="1"/>
  <c r="AM24" i="1" s="1"/>
  <c r="AQ24" i="1" s="1"/>
  <c r="AL27" i="1"/>
  <c r="AL21" i="1"/>
  <c r="AM21" i="1" s="1"/>
  <c r="AQ21" i="1" s="1"/>
  <c r="AM27" i="1" l="1"/>
  <c r="AQ27" i="1" s="1"/>
  <c r="Y15" i="1"/>
  <c r="AD17" i="1"/>
  <c r="AD16" i="1"/>
  <c r="O15" i="1" l="1"/>
  <c r="AB15" i="1"/>
  <c r="AD15" i="1"/>
  <c r="M15" i="1"/>
  <c r="AK15" i="1" l="1"/>
  <c r="AN15" i="1"/>
  <c r="AJ20" i="1" l="1"/>
  <c r="AH20" i="1"/>
  <c r="AF20" i="1"/>
  <c r="AD20" i="1"/>
  <c r="AB20" i="1"/>
  <c r="AJ19" i="1"/>
  <c r="AH19" i="1"/>
  <c r="AF19" i="1"/>
  <c r="AD19" i="1"/>
  <c r="AB19" i="1"/>
  <c r="AJ18" i="1"/>
  <c r="AH18" i="1"/>
  <c r="AF18" i="1"/>
  <c r="AD18" i="1"/>
  <c r="AB18" i="1"/>
  <c r="P18" i="1"/>
  <c r="O18" i="1"/>
  <c r="M18" i="1"/>
  <c r="AN18" i="1" l="1"/>
  <c r="AN19" i="1" s="1"/>
  <c r="AK18" i="1"/>
  <c r="AK19" i="1" s="1"/>
  <c r="AK20" i="1" s="1"/>
  <c r="N18" i="1"/>
  <c r="Q18" i="1" s="1"/>
  <c r="AL18" i="1" l="1"/>
  <c r="AN20" i="1" s="1"/>
  <c r="AO18" i="1" s="1"/>
  <c r="AP18" i="1" s="1"/>
  <c r="AJ17" i="1"/>
  <c r="AH17" i="1"/>
  <c r="AF17" i="1"/>
  <c r="AB17" i="1"/>
  <c r="AJ16" i="1"/>
  <c r="AH16" i="1"/>
  <c r="AF16" i="1"/>
  <c r="AB16" i="1"/>
  <c r="Y16" i="1"/>
  <c r="P15" i="1"/>
  <c r="N15" i="1"/>
  <c r="AK16" i="1" l="1"/>
  <c r="AK17" i="1" s="1"/>
  <c r="AN16" i="1"/>
  <c r="AN17" i="1" s="1"/>
  <c r="Q15" i="1"/>
  <c r="AM18" i="1"/>
  <c r="AQ18" i="1" s="1"/>
  <c r="AO15" i="1" l="1"/>
  <c r="AP15" i="1" s="1"/>
  <c r="AL15" i="1"/>
  <c r="AM15" i="1" s="1"/>
  <c r="AQ15" i="1" l="1"/>
</calcChain>
</file>

<file path=xl/sharedStrings.xml><?xml version="1.0" encoding="utf-8"?>
<sst xmlns="http://schemas.openxmlformats.org/spreadsheetml/2006/main" count="459" uniqueCount="261">
  <si>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</si>
  <si>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</si>
  <si>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</si>
  <si>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</si>
  <si>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</si>
  <si>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</si>
  <si>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</si>
  <si>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</si>
  <si>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</si>
  <si>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</si>
  <si>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</si>
  <si>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</si>
  <si>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</si>
  <si>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</si>
  <si>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</si>
  <si>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</si>
  <si>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</si>
  <si>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</si>
  <si>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</si>
  <si>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</si>
  <si>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</si>
  <si>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</si>
  <si>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</si>
  <si>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</si>
  <si>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</si>
  <si>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</si>
  <si>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</si>
  <si>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</si>
  <si>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</si>
  <si>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</si>
  <si>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</si>
  <si>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</si>
  <si>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</si>
  <si>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</si>
  <si>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</si>
  <si>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</si>
  <si>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</si>
  <si>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</si>
  <si>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</si>
  <si>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</si>
  <si>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</si>
  <si>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</si>
  <si>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</si>
  <si>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</si>
  <si>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</si>
  <si>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</si>
  <si>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</si>
  <si>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</si>
  <si>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</si>
  <si>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</si>
  <si>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</si>
  <si>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</si>
  <si>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</si>
  <si>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</si>
  <si>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</si>
  <si>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</si>
  <si>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</si>
  <si>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</si>
  <si>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</si>
  <si>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</si>
  <si>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</si>
  <si>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</si>
  <si>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</si>
  <si>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</si>
  <si>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</si>
  <si>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afectación económica y reputacional</t>
  </si>
  <si>
    <t>Manual</t>
  </si>
  <si>
    <t>Documentado</t>
  </si>
  <si>
    <t>Continua</t>
  </si>
  <si>
    <t>Con registro</t>
  </si>
  <si>
    <t>Reducir</t>
  </si>
  <si>
    <t>Gestión</t>
  </si>
  <si>
    <t>Procesos</t>
  </si>
  <si>
    <t>Ejecución y administración de procesos</t>
  </si>
  <si>
    <t>Entre 50 y 100 SMLMV o afectación con algunos usuarios</t>
  </si>
  <si>
    <t>No</t>
  </si>
  <si>
    <t>Talento humano</t>
  </si>
  <si>
    <t>Preventivo</t>
  </si>
  <si>
    <t>Evitar</t>
  </si>
  <si>
    <t>Entre 24 a 500 veces</t>
  </si>
  <si>
    <t>Entre 100 y 500 SMLMV o fectación a nivel municipal/departamental</t>
  </si>
  <si>
    <t>Detectivo</t>
  </si>
  <si>
    <t xml:space="preserve">humanos
tecnológicos 
</t>
  </si>
  <si>
    <t xml:space="preserve">* Comités de riesgos
* Seguimientos mapas de riesgos y oportunidades </t>
  </si>
  <si>
    <t xml:space="preserve">Integrantes del comité de riesgos </t>
  </si>
  <si>
    <t>Automático</t>
  </si>
  <si>
    <t xml:space="preserve">humanos
tecnológicos 
económicos 
</t>
  </si>
  <si>
    <t xml:space="preserve">humanos
tecnológicos 
económicos 
logísticos 
</t>
  </si>
  <si>
    <t xml:space="preserve">* registros de  asistencia / fotográficos 
* comunicaciones internas y externas
</t>
  </si>
  <si>
    <t xml:space="preserve">* Registros de  asistencia / fotográficos 
* mesas de trabajo/seguimientos 
* Matrices de riesgos y oportunidades 
</t>
  </si>
  <si>
    <t xml:space="preserve">GESTIÓN HUMANA Y SST </t>
  </si>
  <si>
    <t>Dirigir y estimular la participación del recurso humano, la productividad en el desempeño laboral, en cumplimiento de los planes, programas y procedimientos, relacionados con el Desarrollo del Talento Humano, para el logro de la misión y los objetivos del Instituto</t>
  </si>
  <si>
    <t xml:space="preserve">Profesional Universitario(219-04)-Gestión Humana </t>
  </si>
  <si>
    <t>fallas y/o errores en la generación de pagos y/o liquidación de nómina, seguridad social o parafiscales</t>
  </si>
  <si>
    <t>Seguridad de la Información</t>
  </si>
  <si>
    <t>Entre 500 a 5000 veces</t>
  </si>
  <si>
    <t>Profesional Universitario(219-04)-Gestión Humana</t>
  </si>
  <si>
    <t xml:space="preserve">Profesional Universitario(219-04)-Gestión Humana
</t>
  </si>
  <si>
    <t xml:space="preserve">con el fin de identificar y ajustar en caso de detectar alguna incongruencia </t>
  </si>
  <si>
    <t xml:space="preserve">gestionará capacitaciones para el personal encargado de realizar y liquidar la nómina, </t>
  </si>
  <si>
    <t>con el fin de garantizar el capital humano idóneo para la realización de la función</t>
  </si>
  <si>
    <t>falla en la ejecución de  las funciones por parte del personal,</t>
  </si>
  <si>
    <t>efecto dañoso</t>
  </si>
  <si>
    <t>R4</t>
  </si>
  <si>
    <t xml:space="preserve">fuga de conocimiento y/o de la información </t>
  </si>
  <si>
    <t>R5</t>
  </si>
  <si>
    <t>R6</t>
  </si>
  <si>
    <t xml:space="preserve">Procesos de selección y/o vinculación de personal </t>
  </si>
  <si>
    <t xml:space="preserve"> desconocimiento de las disposiciones normativas en materia de selección de personal y/o falta de controles y seguimientos  </t>
  </si>
  <si>
    <t xml:space="preserve">Proceso de elaboración y  liquidación de nómina </t>
  </si>
  <si>
    <t xml:space="preserve"> falta de parametrización y/o ajustes del proceso en el software, dependencia al proveedor del software para realizar ajustes, falta de capacitación del personal y/o reportes inexactos de otras dependencias </t>
  </si>
  <si>
    <t xml:space="preserve">*Implementación de nuevas tecnologías 
* Capacitaciones al personal
* Disponibilidad de  herramientas tecnológicas de punta. 
</t>
  </si>
  <si>
    <t xml:space="preserve">* Archivo de prenómina </t>
  </si>
  <si>
    <t xml:space="preserve"> gestionará un apoyo adicional de personal debidamente capacitado </t>
  </si>
  <si>
    <t xml:space="preserve">con el fin de desconcentrar el conocimiento en un solo funcionario (a) , lo cual representa un riesgo por parálisis de la función en caso de ausentismo. </t>
  </si>
  <si>
    <t>* Registro de asistencia y/o fotográfico de capacitaciones 
* Comunicaciones internas  y/o externas</t>
  </si>
  <si>
    <t xml:space="preserve">* Comunicaciones internas 
* Estructura organizacional 
* Actos administrativos 
* Manual de funciones 
* Capacitaciones </t>
  </si>
  <si>
    <t>coordinará con el profesional idóneo la elaboración de la pre nómina para 
verificar con la nómina del mes anterior, y revisar con los responsables de los procesos las novedades que se presenten</t>
  </si>
  <si>
    <t xml:space="preserve">Disminuir en un 50% la ocurrencia de eventos respecto a la linea base de la vigencia anterior. </t>
  </si>
  <si>
    <t xml:space="preserve"> A través del profesional competente para la labor  de liquidación de la nómina, se realizará verificación funcionario por funcionario, con el fin de establecer variaciones  con relación al mes anterior, igualmente se mantendrá información actualizada con las diferentes dependencias para incluir cualquier novedad que se presente.  </t>
  </si>
  <si>
    <t xml:space="preserve">* liquidación de la nómina 
* novedades </t>
  </si>
  <si>
    <t xml:space="preserve">* Profesional Universitario(219-04)-Gestión Humana 
* Profesional Universitario 219 02 
* Jefes inmediatos </t>
  </si>
  <si>
    <t>En ejecución</t>
  </si>
  <si>
    <t xml:space="preserve">humanos
tecnológicos 
financieros 
</t>
  </si>
  <si>
    <t>En implementación</t>
  </si>
  <si>
    <t xml:space="preserve">Se gestionarán capacitaciones con expertos calificado tanto para el persona encargado de elaborar y liquidar nómina como para todo apoyo dispuesto para esta labor. </t>
  </si>
  <si>
    <t xml:space="preserve">Desarrollo de las funciones del personal </t>
  </si>
  <si>
    <t xml:space="preserve">* Mejoramiento de la cultura organizacional 
* Mejora continua
* Certificaciones ICONTEC 
</t>
  </si>
  <si>
    <t xml:space="preserve">coordinará con los jefes de área las disponibilidades de los horarios del personal a cargo para efectos de recibir de manera efectiva las capacitaciones </t>
  </si>
  <si>
    <t xml:space="preserve">y de éste modo generar los respectivos cronogramas para las mismas. </t>
  </si>
  <si>
    <t xml:space="preserve">* acta y/o registro de asistencia a mesas de trabajo 
* comunicaciones internas y externas 
</t>
  </si>
  <si>
    <t>establecerá la obligatoriedad de las capacitaciones según el tema y convocatoria (Numeral 40 del Art. 34 de la Ley 734 de 2002)</t>
  </si>
  <si>
    <t xml:space="preserve"> para efectos de citar a los funcionarios con fundamento en la citada norma. </t>
  </si>
  <si>
    <t xml:space="preserve">* citaciones a capacitación 
* matriz de aspectos legales actualizada </t>
  </si>
  <si>
    <t xml:space="preserve"> la poca receptividad sobre el 100% de la participación de los funcionarios en las capacitaciones, talleres, falta de objetividad en la respuesta a los instrumentos de medición para valorar una cultura organizacional, y/o aplicación de la batería de riesgo psicosocial</t>
  </si>
  <si>
    <t xml:space="preserve">promoverá la aplicación de instrumentos como: código de buen gobierno , código disciplinario, políticas de la entidad, y manuales </t>
  </si>
  <si>
    <t xml:space="preserve">con el fin de generar clima organizacional y conciencia sobre la importancia de participar en las capacitaciones e instrumentos de medición establecidos por la entidad </t>
  </si>
  <si>
    <t xml:space="preserve">* comunicaciones internas 
* capacitaciones (registro fotográfico y/o de asistencia) 
* requerimientos 
* encuestas </t>
  </si>
  <si>
    <t>100% del personal de los diferentes procesos capacitado en el marco de lo dispuesto en  el numeral 40 del Art. 34 de la Ley 734 de 2002.</t>
  </si>
  <si>
    <t xml:space="preserve">previo a la realización de las capacitaciones contempladas en el plan anual de capacitaciones de la entidad, se coordinará con los jefes de cada proceso o área la disponibilidad de tiempo del personal, con el fin de contar efectivamente con la asistencia a las mismas, sin interrupciones. </t>
  </si>
  <si>
    <t>Profesional Universitario(219-04)-Gestión Humana  / Jefes de áreas.</t>
  </si>
  <si>
    <t xml:space="preserve">De conformidad con el análisis que se realice sobre la obligatoriedad de las capacitaciones, en consonancia con lo establecido en el numeral 40 del Art. 34 de la Ley 734 de 2002; se realizarán las convocatorias con especial énfasis en la obligación de cada funcionario de asistir a las mismas, so pena de la aplicación de las actuaciones disciplinarias a que haya lugar. </t>
  </si>
  <si>
    <t xml:space="preserve">* convocatorias 
* comunicaciones internas </t>
  </si>
  <si>
    <t xml:space="preserve">Se promoverá desde el proceso la aplicación del código de buen gobierno corporativo, en coordinación con acciones dirigidas por la oficina de control único disciplinario , para el fortalecimiento de la cultural organizacional  sobre la importancia del cumplimiento de las obligaciones de los funcionarios. </t>
  </si>
  <si>
    <t xml:space="preserve">* comunicaciones internas 
* memorandos 
* encuestas 
* mesas de trabajo </t>
  </si>
  <si>
    <t xml:space="preserve">Profesional Universitario(219-04)-Gestión Humana/ Control único disciplinario </t>
  </si>
  <si>
    <t xml:space="preserve">Profesional Universitario(219-04)-Gestión Humana/Dirección Adminitrativa </t>
  </si>
  <si>
    <t xml:space="preserve">
Fuga de conocimiento y/o información</t>
  </si>
  <si>
    <t xml:space="preserve">cambio de la planta de personal y/o salida de contratistas.  </t>
  </si>
  <si>
    <t xml:space="preserve">* Banco de información 
*Manual de funciones actualizado 
* Capacitaciones del personal </t>
  </si>
  <si>
    <t xml:space="preserve">con el fin de determinar el cumplimiento y coherencia de las funciones descritas en el mismo ,versus las actividades de los procesos. </t>
  </si>
  <si>
    <t xml:space="preserve">implementación y socialización de estrategias para el manejo de la información de la entidad </t>
  </si>
  <si>
    <t>, con el fin que el personal de planta de la entidad participe activamente en las actividades y/o proyectos que se desarrollen para garantizar su continuidad en el tiempo.</t>
  </si>
  <si>
    <t xml:space="preserve">* Manual de funciones 
* Capacitaciones , inducción y reinducción </t>
  </si>
  <si>
    <t xml:space="preserve">realizará la sensibilización y fortalecimiento a las labores de supervisión </t>
  </si>
  <si>
    <t xml:space="preserve">con el fin de realizar un seguimiento y contextualización eficaz de las labores ejecutadas por los contratistas de la entidad. </t>
  </si>
  <si>
    <t xml:space="preserve">*Capacitaciones
* Mesas de trabajo (regitros de asistencia y/o fotográficos)
* Informes de supervisión </t>
  </si>
  <si>
    <t>Incluir en las obligaciones contractuales, una sobre la entrega de informes finales donde se de un balance de toda la gestión , actividades y procesos desarrollados por el contratista. 
* Adaptación guía para evitar o mitigar la fuga de conocimiento de las entidades públicas versión 1 Septiembre de 2021, para contratistas.</t>
  </si>
  <si>
    <t>* guía 
* contratos</t>
  </si>
  <si>
    <t xml:space="preserve">Profesional Universitario(219-04)-Gestión Humana/Dirección Adminitrativa/ alta Gerencia / Oficina asesora de planeación  </t>
  </si>
  <si>
    <t xml:space="preserve">Profesional Universitario(219-04)-Gestión Humana/Dirección Adminitrativa / Secretaría General </t>
  </si>
  <si>
    <t>Conocimiento y participación del 100% de los funcionarios en la estrategia para evitar la fuga de transferencia y gestión del conocimiento de la entidad.</t>
  </si>
  <si>
    <t>Dirección Administrativa- Grupo de Gestión Humana</t>
  </si>
  <si>
    <t>* Personal idóneo 
*Mejora cotinua 
* Mejora en procesos y procedimientos (actualización)</t>
  </si>
  <si>
    <t xml:space="preserve"> fallas en el proceso de selección y/o vinculación de personal </t>
  </si>
  <si>
    <t xml:space="preserve">de conformidad con la naturaleza jurídica de la entidad, sus procesos y su misionalidad. </t>
  </si>
  <si>
    <t xml:space="preserve">con el fin de garantizar la vinculación de personal idóneo y con la experiencia necesaria y suficiente para el desarrollo del cargo. </t>
  </si>
  <si>
    <t>Realizar la revisión de los requisitos y el cumplimiento de los mismos de cada aspirante</t>
  </si>
  <si>
    <t xml:space="preserve">Revisar jurídicamente la viabilidad de la oferta de cargos, necesidades de la entidad a través de un estudio técnico y jurídico, teniendo en cuenta la disponibilidad de recursos y destinación del gasto público </t>
  </si>
  <si>
    <t xml:space="preserve">* convocatorias 
* exámenes de convocatoria </t>
  </si>
  <si>
    <t xml:space="preserve">* Estudio de cargas laborales 
</t>
  </si>
  <si>
    <t>Deberá realizarse el análisis de las necesidades de la entidad en materia de personal , conforme a las actividades a cargo del Instituto, con especial énfasis en el objeto misional, realizar estudio de cargas laborales.</t>
  </si>
  <si>
    <t xml:space="preserve">Se realizará la estructuración de los procesos de convocatoria, con sujeción a la normatividad  vigente, con requisitos objetivos, orientados a la selección de personal idóneo y con la experiencia sucientes para las funciones de los cargos. Serán condiciones claras, se evaluará el mérito, habrá libre concurrencia, igualdad de acceso a las convocatorias, pubicidad, y garantía de impactialidad, dando cumplimiento a los principios de la función pública. </t>
  </si>
  <si>
    <r>
      <t xml:space="preserve">* registros de asistencia o fotográficos de mesas de trabajo 
* comunicaciones internas 
* Manual de funciones
</t>
    </r>
    <r>
      <rPr>
        <b/>
        <sz val="11"/>
        <color theme="1"/>
        <rFont val="Arial"/>
        <family val="2"/>
      </rPr>
      <t xml:space="preserve">*encuestas </t>
    </r>
  </si>
  <si>
    <t>Entre 3 a 24 veces</t>
  </si>
  <si>
    <t>Laboral</t>
  </si>
  <si>
    <t>Correctivo</t>
  </si>
  <si>
    <t xml:space="preserve">sanciones, demandas, o pérdida de aseguramiento del personal operativo </t>
  </si>
  <si>
    <t xml:space="preserve">Desarrollo de actividades operativa (en alturas) </t>
  </si>
  <si>
    <t xml:space="preserve"> diligenciamiento inadecuado del formato ATS, permiso de trabajo rutinario y/o no rutinario </t>
  </si>
  <si>
    <t xml:space="preserve">* aseguramiento efectivo del personal
* cobertura de accidentes </t>
  </si>
  <si>
    <t>Usuarios, productos y prácticas</t>
  </si>
  <si>
    <t>* Capacitaciones en el diligenciamiento de los formatos de ATS y permisos de trabajo rutinario y no rutinario</t>
  </si>
  <si>
    <t xml:space="preserve">Requerir al funcionario supervisor competente y jefe de área para el debido seguimiento y vigilancia sobre el diligenciamiento de los formatos, por parte del personal operativo </t>
  </si>
  <si>
    <t>Solicitar a la oficina de control único disciplinario el reporte de la novedades presentadas frente al inadecuado diligenciamiento de los formatos para el trabajo en alturas, por parte del personal operativo</t>
  </si>
  <si>
    <t xml:space="preserve">remitiendo las evidencias del seguimiento y capacitación realizado por parte del área de SST </t>
  </si>
  <si>
    <t xml:space="preserve">* comunicación ionterna enviada a control disciplinario. </t>
  </si>
  <si>
    <t xml:space="preserve">*registro de asistenca y/o fotográficos </t>
  </si>
  <si>
    <t xml:space="preserve">* comunicación interna al coordinador de cuadrillas y jefe de área </t>
  </si>
  <si>
    <t>Correcto diligenciamiento del 100% de los formatos en campo</t>
  </si>
  <si>
    <t xml:space="preserve">* El personal del proceso de SST realizará capacitación al personal operativo para el correcto diligenciamiento de los formatos para trabajo seguro en alturas </t>
  </si>
  <si>
    <t xml:space="preserve">humanos
tecnológicos 
logísticos 
</t>
  </si>
  <si>
    <t xml:space="preserve">* comunicación itnerna
</t>
  </si>
  <si>
    <t xml:space="preserve">* comunicación interna 
* informe 
</t>
  </si>
  <si>
    <t xml:space="preserve">Dirección Administrativa- Grupo de Gestión Humana y SST </t>
  </si>
  <si>
    <t>Dirección Administrativa- Grupo de Gestión Humana Y SST</t>
  </si>
  <si>
    <t xml:space="preserve">Desarrollo de eventos institucionales </t>
  </si>
  <si>
    <t>Evento externo</t>
  </si>
  <si>
    <t>responsabilidad civil, penal o disciplinaria, accidentes, conductas inapropiadas</t>
  </si>
  <si>
    <t xml:space="preserve">* Fortalecimiento de los protocolos de planeación y supervisión
* Promoción de una cultura institucional responsable
*Mejora de la gestión de riesgos legales y económicos </t>
  </si>
  <si>
    <t>Implementar y comunicar un protocolo claro que regule la seguridad, el consumo de sustancias y el comportamiento en eventos institucionales. Este protocolo debe incluir restricciones al consumo de licor, procedimientos para manejar alteraciones del orden y normas de conducta esperadas.</t>
  </si>
  <si>
    <t xml:space="preserve"> Protocolos de seguridad y comportamiento en eventos:</t>
  </si>
  <si>
    <t>Control de acceso y seguridad externa:</t>
  </si>
  <si>
    <t>Implementar un sistema de control de acceso que garantice la entrada únicamente de personas autorizadas y contratar personal de seguridad capacitado para prevenir alteraciones del orden.</t>
  </si>
  <si>
    <t>* Listado de invitados y registro de asistencia con identificación validada.
* Contratos con empresas de seguridad o constancias de contratación de personal de vigilancia.
* Reportes de incidentes (o la ausencia de ellos) generados por el equipo de seguridad durante y después del evento.</t>
  </si>
  <si>
    <t>(Total de incidentes ocurridos durante los eventos programados en la vigencia / total de eventos programado)</t>
  </si>
  <si>
    <t>realizar el envio de comunicaciones internas de los diferentes porcesos de la entidad, recordando la obligacion de retroalimentar a los colaboradores de los mismos porcesos, respecto a las capacitacioners que se reciban en competencias funcionales internas o externas a la entidad.</t>
  </si>
  <si>
    <t xml:space="preserve">* circulares y memorandos 
* comunicaciones internas y externas
</t>
  </si>
  <si>
    <t xml:space="preserve">diligenciamiento y verificación de formatos de entrega de cargos 
remitir a cada uno de los porcesos circular informativa recordando la obligacion de entregar los cargos diligenciando el formato establecido por el SIG y dando un plazo perentorio para la remision de dicha acta la area de gestion humana y archivarlo en la historia laboral.
</t>
  </si>
  <si>
    <t>mantener el o% las demandas perdidas</t>
  </si>
  <si>
    <t>enero a diciembre del 2025</t>
  </si>
  <si>
    <t>informe registro fotograficos</t>
  </si>
  <si>
    <t xml:space="preserve">1, Prohibir la ingesta de licor </t>
  </si>
  <si>
    <t>Terminado</t>
  </si>
  <si>
    <t xml:space="preserve">Se realizará, por parte del líder de gestión humana y la profesional de SST requerimiento al coordinador de cuadrillas y jefe de área, para que se efectúe el debido seguimiento y vigilancia del diligenciamiento de los formatos para trabajo seguro en alturas. </t>
  </si>
  <si>
    <t xml:space="preserve">* Posterior a los dos controles anterioes, se reportará al jefe de control único disciplinario los casos e incidentes en el inadecuado diligenciamiento de los formatos. </t>
  </si>
  <si>
    <t>Vigente desde: 2025/02/25</t>
  </si>
  <si>
    <t>mayo a diciembre de 2025</t>
  </si>
  <si>
    <t>posible hallazgo en el analisis medico toxicologico de los funcionarios que alteran la conducta y/o alteración del orden.</t>
  </si>
  <si>
    <t>R7</t>
  </si>
  <si>
    <t>Selección, contratación, inducción y reinducción del personal</t>
  </si>
  <si>
    <t xml:space="preserve"> sanciones y/o  reprocesos por fallas humanas </t>
  </si>
  <si>
    <t xml:space="preserve">altas cargas laborales, rotación de personal, desconocimiento normativo sobre los procedimientos. </t>
  </si>
  <si>
    <t xml:space="preserve">* capacitación del personal 
* proceso de inducción  y reinducción </t>
  </si>
  <si>
    <t xml:space="preserve">Realizará procesos de inducción y reinducción del personal de planta y contratistas , promover en los funcionarios el conocimiento y revisión de las funciones contempladas en los manuales de funciones, </t>
  </si>
  <si>
    <t>con el fin de reforzar los conocimientos sobre las funciones de los cargos</t>
  </si>
  <si>
    <t xml:space="preserve">* registros de asistencia y/o fotográficos 
* convocatorias </t>
  </si>
  <si>
    <t xml:space="preserve">* Se realizarán jornadas de inducción y reinducción para el personal de planta y contratista vinculados a la entidad, socializando los aspectos relativos de la entidad, su modelo de operación, procesos, procedimientos, caracterizaciones, instrumentos, planes, programas y proyecto. 
* Se realizará la solicitud a cada funcionario para la revisión y lectura de su manual de funciones, y se promoverá en la organización la cultura de aplicación y debida ejecución de la funciones del cago. </t>
  </si>
  <si>
    <t xml:space="preserve">Dirección Administrativa- Grupo de Gestión Humana / Alta Gerencia/ Oficina Asesora de Planeación </t>
  </si>
  <si>
    <t xml:space="preserve">Oficina gestión de riesgos </t>
  </si>
  <si>
    <t>con el fin de actualizar los conocimientos y procedimientos implementados por los funcionarios en cada una de las funciones de los cargos</t>
  </si>
  <si>
    <t xml:space="preserve">Dirección Administrativa- Grupo de Gestión Humana / Alta Gerencia/ </t>
  </si>
  <si>
    <t xml:space="preserve"> implementará espacios para realizar procesos de empalme en los eventos de rotación de la planta </t>
  </si>
  <si>
    <t>con el fin de solventar las herramientas necesarias para la entrada del nuevo funcionario al cargo, y no generar traumatismos o reprocesos que afecten el correcto desarrollo de las actividades.</t>
  </si>
  <si>
    <t xml:space="preserve">* registros de asistencia 
* programaciones / cronogramas 
* actas / informes </t>
  </si>
  <si>
    <t xml:space="preserve">* En los casos de rotación de personal, se programarán espacios de empalme entre el funcionario saliente y entrante, con el fin de identificar con respecto al informe de gestión, aspectos básicos sobre la operatividad en el cargo y los procedimientos del mismo. </t>
  </si>
  <si>
    <t xml:space="preserve">* registros mesas de trabajo (empalme)/ asistencia
</t>
  </si>
  <si>
    <t>realizar dos jornadas de Induccion y reinduccion</t>
  </si>
  <si>
    <t xml:space="preserve">abril - diciembre de 2025 </t>
  </si>
  <si>
    <t>Profesional Universitario(219-02)-Gestión Humana</t>
  </si>
  <si>
    <t xml:space="preserve">* mesas de trabajo (registros de asistencia)
* comunicaciones internas </t>
  </si>
  <si>
    <t>Implementacion del modulo especial de liquidacion masiva en coordinacion con el porveedor del sortware IAS SOLUTION; asignacion de personal de apoyo para el porceso de liquidacion de nomina masiva, en ocasión al vencimiento de la nomina temporal,</t>
  </si>
  <si>
    <t>mayo a julio del 2025</t>
  </si>
  <si>
    <t xml:space="preserve">* Registro de asisitencia con operador del sotfware, actas mesas de trabajo, comunicaciones internas,
</t>
  </si>
  <si>
    <t xml:space="preserve"> Dirección Administrativa  - * Profesional Universitario(219-02)-Gestión Humana SST</t>
  </si>
  <si>
    <t>humanos, tecnologicos</t>
  </si>
  <si>
    <t>junio a diciembre del 2025</t>
  </si>
  <si>
    <t>correos electronicos</t>
  </si>
  <si>
    <t>se solicitara el diligenciamiento y verificación de formatos de entrega de cargos 
remitir a cada uno de los procesos circular informativa recordando la obligacion de entregar los cargos diligenciando el formato establecido por el SIG,</t>
  </si>
  <si>
    <t>Realizar la validacion de titulos del personal de la planta temporal y permanente con especto a los titulos profesionales y especializaciones.</t>
  </si>
  <si>
    <t>Realizar la verificacion y validacion de los soportes que se anexan en la hoja de vida</t>
  </si>
  <si>
    <t>El Profesional uiversitario 219-04 de Gestion Humana realizara la verificacion y validacion de manera aleatoria de la informacion anexa a la Hoja de Vida.</t>
  </si>
  <si>
    <t>correos electronicos - comunicacione externas</t>
  </si>
  <si>
    <t xml:space="preserve">* Estudio técnico - Comité de formalizacion laboral y modernizacion administrativa,
* Acuerdo de consejo directivo </t>
  </si>
  <si>
    <t>se implementara un nuevo formato de Induccion donde halla integralidad en lo que respecta a Gestion Humana, Seguridad y Salud en el Trabajo, Ambiental, Calidad y MIPG</t>
  </si>
  <si>
    <t>evaluacion de la Induccion</t>
  </si>
  <si>
    <t xml:space="preserve">*registros mesa de trabajo / registros de asistencia
*evaluacion de la Induccion
</t>
  </si>
  <si>
    <t>2, prohibir o restringir el ingreso de personas que no tengan ningun vinculo laboral  a los eventos institucionales</t>
  </si>
  <si>
    <t xml:space="preserve">Profesional Universitario(219-01)-SST y 219-02Gestión Humana
</t>
  </si>
  <si>
    <t>* procedimiento del programa de prevencion y control de consumo de alcohol, sustancias sicoactivas y salud mental.
* Registro de capacitaciones realizadas para el personal sobre el protocolo (listas de asistencia, materiales de formación).
* Informe de supervisión o checklist del cumplimiento del protocolo durante el evento.</t>
  </si>
  <si>
    <t>* Se realizará un nuevo formato de Induccion donde este interelacionado los diferentes sistemas del Instituto y se solicitara a cada director que halla una capacitacion especifica de las funciones del cargo al cual fue asignado.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</si>
</sst>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sz val="12"/>
      <color theme="1"/>
      <name val="Arial"/>
      <family val="2"/>
    </font>
    <font>
      <sz val="8"/>
      <name val="Calibri"/>
      <family val="2"/>
      <scheme val="minor"/>
    </font>
    <font>
      <sz val="10"/>
      <color theme="1"/>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57">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1" fillId="0" borderId="0" xfId="0" applyFont="1"/>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3"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9" fontId="6" fillId="5" borderId="8" xfId="1"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6" fillId="0" borderId="30"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9" fillId="4" borderId="31" xfId="0" applyFont="1" applyFill="1" applyBorder="1" applyAlignment="1">
      <alignment horizontal="center" vertical="center" wrapText="1"/>
    </xf>
    <xf numFmtId="17"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0" xfId="0" applyFont="1" applyBorder="1" applyAlignment="1">
      <alignment vertical="center" wrapText="1"/>
    </xf>
    <xf numFmtId="0" fontId="6" fillId="0" borderId="0" xfId="0" applyFont="1" applyBorder="1"/>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0" fontId="6" fillId="0" borderId="18"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17" fontId="6" fillId="0" borderId="5" xfId="0" applyNumberFormat="1"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7" fillId="5" borderId="4"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9" fontId="6" fillId="5" borderId="18" xfId="1" applyFont="1" applyFill="1" applyBorder="1" applyAlignment="1" applyProtection="1">
      <alignment horizontal="center" vertical="center" wrapText="1"/>
    </xf>
    <xf numFmtId="9" fontId="6" fillId="5" borderId="3" xfId="1" applyFont="1" applyFill="1" applyBorder="1" applyAlignment="1" applyProtection="1">
      <alignment horizontal="center" vertical="center" wrapText="1"/>
    </xf>
    <xf numFmtId="9" fontId="6" fillId="5" borderId="20" xfId="1" applyFont="1" applyFill="1" applyBorder="1" applyAlignment="1" applyProtection="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top"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2" fillId="0" borderId="1" xfId="0" applyFont="1" applyBorder="1" applyAlignment="1">
      <alignment horizontal="center" vertical="center" wrapText="1"/>
    </xf>
    <xf numFmtId="9" fontId="6" fillId="0" borderId="18" xfId="0" applyNumberFormat="1" applyFont="1" applyFill="1" applyBorder="1" applyAlignment="1" applyProtection="1">
      <alignment horizontal="center" vertical="center" wrapText="1"/>
      <protection locked="0"/>
    </xf>
    <xf numFmtId="0" fontId="10" fillId="6" borderId="21"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1" xfId="0" applyFont="1" applyFill="1" applyBorder="1" applyAlignment="1">
      <alignment horizontal="center"/>
    </xf>
    <xf numFmtId="0" fontId="10" fillId="6" borderId="18" xfId="0" applyFont="1" applyFill="1" applyBorder="1" applyAlignment="1">
      <alignment horizontal="center"/>
    </xf>
    <xf numFmtId="0" fontId="10" fillId="6" borderId="25" xfId="0" applyFont="1" applyFill="1" applyBorder="1" applyAlignment="1">
      <alignment horizont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9" fontId="6" fillId="0" borderId="3" xfId="0" applyNumberFormat="1" applyFont="1" applyFill="1" applyBorder="1" applyAlignment="1" applyProtection="1">
      <alignment horizontal="center" vertical="center" wrapText="1"/>
      <protection locked="0"/>
    </xf>
    <xf numFmtId="9" fontId="6" fillId="0" borderId="20" xfId="0"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cellXfs>
  <cellStyles count="2">
    <cellStyle name="Normal" xfId="0" builtinId="0"/>
    <cellStyle name="Porcentaje" xfId="1" builtinId="5"/>
  </cellStyles>
  <dxfs count="180">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8165</xdr:rowOff>
    </xdr:from>
    <xdr:to>
      <xdr:col>3</xdr:col>
      <xdr:colOff>523875</xdr:colOff>
      <xdr:row>4</xdr:row>
      <xdr:rowOff>54429</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5"/>
          <a:ext cx="3707946" cy="1420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7"/>
  <sheetViews>
    <sheetView tabSelected="1" zoomScale="60" zoomScaleNormal="60" workbookViewId="0">
      <pane xSplit="6" ySplit="14" topLeftCell="AP51" activePane="bottomRight" state="frozen"/>
      <selection pane="topRight" activeCell="G1" sqref="G1"/>
      <selection pane="bottomLeft" activeCell="A15" sqref="A15"/>
      <selection pane="bottomRight" activeCell="AZ5" sqref="AZ1:BB1048576"/>
    </sheetView>
  </sheetViews>
  <sheetFormatPr baseColWidth="10" defaultColWidth="10.85546875" defaultRowHeight="14.25" x14ac:dyDescent="0.2"/>
  <cols>
    <col min="1" max="1" width="10.85546875" style="1" customWidth="1"/>
    <col min="2" max="2" width="20.5703125" style="1" customWidth="1"/>
    <col min="3" max="3" width="16.28515625" style="1" customWidth="1"/>
    <col min="4" max="4" width="45.140625" style="1" customWidth="1"/>
    <col min="5" max="5" width="26.42578125" style="1" customWidth="1"/>
    <col min="6" max="6" width="34.7109375" style="1" customWidth="1"/>
    <col min="7" max="7" width="37.5703125" style="1" customWidth="1"/>
    <col min="8" max="8" width="25.28515625" style="1" customWidth="1"/>
    <col min="9" max="9" width="15.5703125" style="1" customWidth="1"/>
    <col min="10" max="10" width="17.7109375" style="1" customWidth="1"/>
    <col min="11" max="11" width="15.7109375" style="1" customWidth="1"/>
    <col min="12" max="12" width="16.7109375" style="1" customWidth="1"/>
    <col min="13" max="15" width="8.42578125" style="1" customWidth="1"/>
    <col min="16" max="16" width="12.28515625" style="1" customWidth="1"/>
    <col min="17" max="17" width="13.85546875" style="1" customWidth="1"/>
    <col min="18" max="19" width="12.5703125" style="1" customWidth="1"/>
    <col min="20" max="20" width="13.28515625" style="1" customWidth="1"/>
    <col min="21" max="21" width="10.85546875" style="1" customWidth="1"/>
    <col min="22" max="22" width="23.5703125" style="1" customWidth="1"/>
    <col min="23" max="23" width="37.28515625" style="1" customWidth="1"/>
    <col min="24" max="24" width="41.5703125" style="1" customWidth="1"/>
    <col min="25" max="25" width="51.85546875" style="1" customWidth="1"/>
    <col min="26" max="26" width="42"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hidden="1" customWidth="1"/>
    <col min="41" max="41" width="11.140625" style="1" customWidth="1"/>
    <col min="42" max="42" width="12.7109375" style="1" customWidth="1"/>
    <col min="43" max="43" width="20.5703125" style="1" customWidth="1"/>
    <col min="44" max="44" width="25.28515625" style="1" customWidth="1"/>
    <col min="45" max="45" width="14.28515625" style="1" customWidth="1"/>
    <col min="46" max="46" width="10.85546875" style="1" customWidth="1"/>
    <col min="47" max="47" width="62.5703125" style="1" customWidth="1"/>
    <col min="48" max="48" width="20.5703125" style="1" customWidth="1"/>
    <col min="49" max="49" width="21.140625" style="1" customWidth="1"/>
    <col min="50" max="50" width="27.140625" style="1" customWidth="1"/>
    <col min="51" max="51" width="22.7109375" style="1" customWidth="1"/>
    <col min="52" max="52" width="16.42578125" style="1" customWidth="1"/>
    <col min="53" max="53" width="20.42578125" style="1" customWidth="1"/>
    <col min="54" max="54" width="16.28515625" style="1" bestFit="1" customWidth="1"/>
    <col min="55" max="55" width="47.5703125" style="1" customWidth="1"/>
    <col min="56" max="16384" width="10.85546875" style="1"/>
  </cols>
  <sheetData>
    <row r="1" spans="1:55" customFormat="1" ht="31.5" customHeight="1" x14ac:dyDescent="0.25">
      <c r="A1" s="135"/>
      <c r="B1" s="135"/>
      <c r="C1" s="135"/>
      <c r="D1" s="135"/>
      <c r="E1" s="103" t="s">
        <v>0</v>
      </c>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5"/>
      <c r="BC1" s="43" t="s">
        <v>1</v>
      </c>
    </row>
    <row r="2" spans="1:55" customFormat="1" ht="31.5" customHeight="1" x14ac:dyDescent="0.25">
      <c r="A2" s="135"/>
      <c r="B2" s="135"/>
      <c r="C2" s="135"/>
      <c r="D2" s="135"/>
      <c r="E2" s="106"/>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8"/>
      <c r="BC2" s="44" t="s">
        <v>4</v>
      </c>
    </row>
    <row r="3" spans="1:55" customFormat="1" ht="31.5" customHeight="1" x14ac:dyDescent="0.25">
      <c r="A3" s="135"/>
      <c r="B3" s="135"/>
      <c r="C3" s="135"/>
      <c r="D3" s="135"/>
      <c r="E3" s="109" t="s">
        <v>2</v>
      </c>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1"/>
      <c r="BC3" s="45" t="s">
        <v>216</v>
      </c>
    </row>
    <row r="4" spans="1:55" customFormat="1" ht="15" x14ac:dyDescent="0.25">
      <c r="A4" s="135"/>
      <c r="B4" s="135"/>
      <c r="C4" s="135"/>
      <c r="D4" s="135"/>
      <c r="E4" s="112"/>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4"/>
      <c r="BC4" s="44" t="s">
        <v>3</v>
      </c>
    </row>
    <row r="5" spans="1:55" s="4" customFormat="1" ht="23.25"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18" x14ac:dyDescent="0.2">
      <c r="A6" s="102" t="s">
        <v>16</v>
      </c>
      <c r="B6" s="102"/>
      <c r="C6" s="102"/>
      <c r="D6" s="120" t="s">
        <v>90</v>
      </c>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row>
    <row r="7" spans="1:55" s="5" customFormat="1" ht="23.25" x14ac:dyDescent="0.35">
      <c r="B7" s="6"/>
      <c r="C7" s="6"/>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row>
    <row r="8" spans="1:55" ht="18" x14ac:dyDescent="0.2">
      <c r="A8" s="102" t="s">
        <v>17</v>
      </c>
      <c r="B8" s="102"/>
      <c r="C8" s="102"/>
      <c r="D8" s="121" t="s">
        <v>91</v>
      </c>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row>
    <row r="9" spans="1:55" s="5" customFormat="1" ht="18.75" customHeight="1" x14ac:dyDescent="0.35">
      <c r="B9" s="6"/>
      <c r="C9" s="6"/>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row>
    <row r="10" spans="1:55" ht="18" x14ac:dyDescent="0.2">
      <c r="A10" s="102" t="s">
        <v>47</v>
      </c>
      <c r="B10" s="102"/>
      <c r="C10" s="102"/>
      <c r="D10" s="120" t="s">
        <v>92</v>
      </c>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row>
    <row r="11" spans="1:55" s="5" customFormat="1" ht="24.75" customHeight="1" thickBot="1" x14ac:dyDescent="0.4">
      <c r="B11" s="2"/>
      <c r="C11" s="2"/>
      <c r="D11" s="2"/>
      <c r="E11" s="3"/>
      <c r="F11" s="3"/>
      <c r="G11" s="3"/>
      <c r="H11" s="3"/>
      <c r="I11" s="3"/>
      <c r="J11" s="3"/>
      <c r="K11" s="3"/>
      <c r="L11" s="3"/>
      <c r="M11" s="3"/>
      <c r="N11" s="3"/>
      <c r="O11" s="3"/>
      <c r="P11" s="3"/>
      <c r="Q11" s="3"/>
      <c r="R11" s="3"/>
      <c r="S11" s="3"/>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3"/>
      <c r="AU11" s="3"/>
      <c r="AV11" s="3"/>
      <c r="AW11" s="3"/>
      <c r="AX11" s="3"/>
      <c r="AY11" s="3"/>
      <c r="AZ11" s="3"/>
      <c r="BA11" s="3"/>
      <c r="BB11" s="3"/>
      <c r="BC11" s="3"/>
    </row>
    <row r="12" spans="1:55" s="8" customFormat="1" ht="18.75" thickBot="1" x14ac:dyDescent="0.3">
      <c r="A12" s="137" t="s">
        <v>53</v>
      </c>
      <c r="B12" s="138"/>
      <c r="C12" s="138"/>
      <c r="D12" s="138"/>
      <c r="E12" s="138"/>
      <c r="F12" s="138"/>
      <c r="G12" s="138"/>
      <c r="H12" s="138"/>
      <c r="I12" s="138"/>
      <c r="J12" s="138"/>
      <c r="K12" s="138"/>
      <c r="L12" s="138"/>
      <c r="M12" s="138"/>
      <c r="N12" s="138"/>
      <c r="O12" s="138"/>
      <c r="P12" s="138"/>
      <c r="Q12" s="139"/>
      <c r="R12" s="143" t="s">
        <v>55</v>
      </c>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5"/>
      <c r="BA12" s="122" t="s">
        <v>57</v>
      </c>
      <c r="BB12" s="123"/>
      <c r="BC12" s="124"/>
    </row>
    <row r="13" spans="1:55" s="17" customFormat="1" ht="42" customHeight="1" x14ac:dyDescent="0.25">
      <c r="A13" s="125" t="s">
        <v>19</v>
      </c>
      <c r="B13" s="126"/>
      <c r="C13" s="126"/>
      <c r="D13" s="126"/>
      <c r="E13" s="126"/>
      <c r="F13" s="126"/>
      <c r="G13" s="127"/>
      <c r="H13" s="125" t="s">
        <v>54</v>
      </c>
      <c r="I13" s="126"/>
      <c r="J13" s="126"/>
      <c r="K13" s="126"/>
      <c r="L13" s="127"/>
      <c r="M13" s="125" t="s">
        <v>28</v>
      </c>
      <c r="N13" s="126"/>
      <c r="O13" s="126"/>
      <c r="P13" s="126"/>
      <c r="Q13" s="127"/>
      <c r="R13" s="125" t="s">
        <v>56</v>
      </c>
      <c r="S13" s="126"/>
      <c r="T13" s="127"/>
      <c r="U13" s="125" t="s">
        <v>51</v>
      </c>
      <c r="V13" s="126"/>
      <c r="W13" s="126"/>
      <c r="X13" s="126"/>
      <c r="Y13" s="126"/>
      <c r="Z13" s="127"/>
      <c r="AA13" s="128" t="s">
        <v>32</v>
      </c>
      <c r="AB13" s="140"/>
      <c r="AC13" s="140"/>
      <c r="AD13" s="129"/>
      <c r="AE13" s="128" t="s">
        <v>33</v>
      </c>
      <c r="AF13" s="140"/>
      <c r="AG13" s="140"/>
      <c r="AH13" s="140"/>
      <c r="AI13" s="140"/>
      <c r="AJ13" s="129"/>
      <c r="AK13" s="125" t="s">
        <v>50</v>
      </c>
      <c r="AL13" s="126"/>
      <c r="AM13" s="126"/>
      <c r="AN13" s="126"/>
      <c r="AO13" s="126"/>
      <c r="AP13" s="126"/>
      <c r="AQ13" s="127"/>
      <c r="AR13" s="128" t="s">
        <v>37</v>
      </c>
      <c r="AS13" s="129"/>
      <c r="AT13" s="128" t="s">
        <v>49</v>
      </c>
      <c r="AU13" s="140"/>
      <c r="AV13" s="140"/>
      <c r="AW13" s="140"/>
      <c r="AX13" s="140"/>
      <c r="AY13" s="140"/>
      <c r="AZ13" s="129"/>
      <c r="BA13" s="130" t="s">
        <v>10</v>
      </c>
      <c r="BB13" s="118" t="s">
        <v>41</v>
      </c>
      <c r="BC13" s="118" t="s">
        <v>40</v>
      </c>
    </row>
    <row r="14" spans="1:55" customFormat="1" ht="78" customHeight="1" thickBot="1" x14ac:dyDescent="0.3">
      <c r="A14" s="9" t="s">
        <v>35</v>
      </c>
      <c r="B14" s="10" t="s">
        <v>20</v>
      </c>
      <c r="C14" s="10" t="s">
        <v>8</v>
      </c>
      <c r="D14" s="10" t="s">
        <v>7</v>
      </c>
      <c r="E14" s="10" t="s">
        <v>64</v>
      </c>
      <c r="F14" s="10" t="s">
        <v>6</v>
      </c>
      <c r="G14" s="11" t="s">
        <v>5</v>
      </c>
      <c r="H14" s="12" t="s">
        <v>63</v>
      </c>
      <c r="I14" s="10" t="s">
        <v>60</v>
      </c>
      <c r="J14" s="10" t="s">
        <v>9</v>
      </c>
      <c r="K14" s="10" t="s">
        <v>24</v>
      </c>
      <c r="L14" s="11" t="s">
        <v>61</v>
      </c>
      <c r="M14" s="141" t="s">
        <v>23</v>
      </c>
      <c r="N14" s="142"/>
      <c r="O14" s="142" t="s">
        <v>22</v>
      </c>
      <c r="P14" s="142"/>
      <c r="Q14" s="11" t="s">
        <v>21</v>
      </c>
      <c r="R14" s="12" t="s">
        <v>52</v>
      </c>
      <c r="S14" s="10" t="s">
        <v>62</v>
      </c>
      <c r="T14" s="11" t="s">
        <v>36</v>
      </c>
      <c r="U14" s="9" t="s">
        <v>18</v>
      </c>
      <c r="V14" s="10" t="s">
        <v>10</v>
      </c>
      <c r="W14" s="10" t="s">
        <v>42</v>
      </c>
      <c r="X14" s="10" t="s">
        <v>43</v>
      </c>
      <c r="Y14" s="10" t="s">
        <v>44</v>
      </c>
      <c r="Z14" s="11" t="s">
        <v>45</v>
      </c>
      <c r="AA14" s="9" t="s">
        <v>25</v>
      </c>
      <c r="AB14" s="14"/>
      <c r="AC14" s="13" t="s">
        <v>12</v>
      </c>
      <c r="AD14" s="15"/>
      <c r="AE14" s="9" t="s">
        <v>13</v>
      </c>
      <c r="AF14" s="14"/>
      <c r="AG14" s="13" t="s">
        <v>14</v>
      </c>
      <c r="AH14" s="14"/>
      <c r="AI14" s="13" t="s">
        <v>15</v>
      </c>
      <c r="AJ14" s="16"/>
      <c r="AK14" s="12"/>
      <c r="AL14" s="142" t="s">
        <v>29</v>
      </c>
      <c r="AM14" s="142"/>
      <c r="AN14" s="10"/>
      <c r="AO14" s="142" t="s">
        <v>30</v>
      </c>
      <c r="AP14" s="142"/>
      <c r="AQ14" s="11" t="s">
        <v>31</v>
      </c>
      <c r="AR14" s="12" t="s">
        <v>39</v>
      </c>
      <c r="AS14" s="11" t="s">
        <v>38</v>
      </c>
      <c r="AT14" s="9" t="s">
        <v>26</v>
      </c>
      <c r="AU14" s="48" t="s">
        <v>40</v>
      </c>
      <c r="AV14" s="48" t="s">
        <v>48</v>
      </c>
      <c r="AW14" s="48" t="s">
        <v>27</v>
      </c>
      <c r="AX14" s="48" t="s">
        <v>45</v>
      </c>
      <c r="AY14" s="48" t="s">
        <v>46</v>
      </c>
      <c r="AZ14" s="11" t="s">
        <v>11</v>
      </c>
      <c r="BA14" s="131"/>
      <c r="BB14" s="119"/>
      <c r="BC14" s="119"/>
    </row>
    <row r="15" spans="1:55" s="30" customFormat="1" ht="128.25" customHeight="1" thickBot="1" x14ac:dyDescent="0.3">
      <c r="A15" s="99" t="s">
        <v>34</v>
      </c>
      <c r="B15" s="74" t="s">
        <v>109</v>
      </c>
      <c r="C15" s="89" t="s">
        <v>72</v>
      </c>
      <c r="D15" s="74" t="s">
        <v>65</v>
      </c>
      <c r="E15" s="132" t="s">
        <v>93</v>
      </c>
      <c r="F15" s="89" t="s">
        <v>110</v>
      </c>
      <c r="G15" s="83" t="str">
        <f>+IF(OR(D15&lt;&gt;"",E15&lt;&gt;"",F15&lt;&gt;""),CONCATENATE("Posibilidad de ",D15," por ",E15," debido a ",F15),"")</f>
        <v xml:space="preserve">Posibilidad de afectación económica y reputacional por fallas y/o errores en la generación de pagos y/o liquidación de nómina, seguridad social o parafiscales debido a  falta de parametrización y/o ajustes del proceso en el software, dependencia al proveedor del software para realizar ajustes, falta de capacitación del personal y/o reportes inexactos de otras dependencias </v>
      </c>
      <c r="H15" s="89" t="s">
        <v>111</v>
      </c>
      <c r="I15" s="74" t="s">
        <v>94</v>
      </c>
      <c r="J15" s="74" t="s">
        <v>73</v>
      </c>
      <c r="K15" s="74" t="s">
        <v>95</v>
      </c>
      <c r="L15" s="74" t="s">
        <v>80</v>
      </c>
      <c r="M15" s="80">
        <f>+IF(K15="Máximo 2 veces",0.2,IF(K15="Entre 3 a 24 veces",0.4,IF(K15="Entre 24 a 500 veces",0.6,IF(K15="Entre 500 a 5000 veces",0.8,IF(K15="Mas de 5000 veces",1,"")))))</f>
        <v>0.8</v>
      </c>
      <c r="N15" s="83" t="str">
        <f>+IF(M15="","",IF(M15&gt;0.8,"Muy Alta",IF(AND(M15&lt;=0.8,M15&gt;0.6),"Alta",IF(AND(M15&lt;=0.6,M15&gt;0.4),"Media",IF(AND(M15&lt;=0.4,M15&gt;0.2),"Baja","Muy Baja")))))</f>
        <v>Alta</v>
      </c>
      <c r="O15" s="115">
        <f>+IF(L15="menor a 10 SMLMV o afectación a un área/proceso",0.2,IF(L15="Entre 10 y 50 SMLMV o afectación interna", 0.4, IF(L15="Entre 50 y 100 SMLMV o afectación con algunos usuarios", 0.6, IF(L15="Entre 100 y 500 SMLMV o fectación a nivel municipal/departamental", 0.8, IF(L15="Mayor a 500 SMLMV o afectación nacional", 1, "")))))</f>
        <v>0.8</v>
      </c>
      <c r="P15" s="86"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83"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74" t="s">
        <v>70</v>
      </c>
      <c r="S15" s="74" t="s">
        <v>75</v>
      </c>
      <c r="T15" s="77"/>
      <c r="U15" s="24">
        <v>1</v>
      </c>
      <c r="V15" s="18" t="s">
        <v>239</v>
      </c>
      <c r="W15" s="18" t="s">
        <v>117</v>
      </c>
      <c r="X15" s="18" t="s">
        <v>98</v>
      </c>
      <c r="Y15" s="22" t="str">
        <f t="shared" ref="Y15:Y16" si="0">CONCATENATE(V15,W15,X15)</f>
        <v xml:space="preserve">Profesional Universitario(219-02)-Gestión Humanacoordinará con el profesional idóneo la elaboración de la pre nómina para 
verificar con la nómina del mes anterior, y revisar con los responsables de los procesos las novedades que se presentencon el fin de identificar y ajustar en caso de detectar alguna incongruencia </v>
      </c>
      <c r="Z15" s="18" t="s">
        <v>112</v>
      </c>
      <c r="AA15" s="25" t="s">
        <v>81</v>
      </c>
      <c r="AB15" s="26">
        <f>+IF(AA15="","",IF(AA15="Preventivo",0.25,IF(AA15="correctivo",0.1,IF(AA15="detectivo",0.15))))</f>
        <v>0.15</v>
      </c>
      <c r="AC15" s="25" t="s">
        <v>66</v>
      </c>
      <c r="AD15" s="26">
        <f>+IF(AC15="","",IF(AC15="Automático",0.25,IF(AC15="Manual",0.15)))</f>
        <v>0.15</v>
      </c>
      <c r="AE15" s="25" t="s">
        <v>67</v>
      </c>
      <c r="AF15" s="26"/>
      <c r="AG15" s="25" t="s">
        <v>68</v>
      </c>
      <c r="AH15" s="26"/>
      <c r="AI15" s="25" t="s">
        <v>69</v>
      </c>
      <c r="AJ15" s="27"/>
      <c r="AK15" s="27">
        <f>IF(AA15="Preventivo",(M15-(M15*(AB15+AD15))),(IF(AA15="Detectivo",(M15-(M15*(AB15+AD15))),M15)))</f>
        <v>0.56000000000000005</v>
      </c>
      <c r="AL15" s="80">
        <f>+IF(M15="","",MIN(AK15:AK17))</f>
        <v>0.2016</v>
      </c>
      <c r="AM15" s="83" t="str">
        <f>+IF(AL15="","",IF(AL15&gt;0.8,"Muy Alta",IF(AND(AL15&lt;=0.8,AL15&gt;0.6),"Alta",IF(AND(AL15&lt;=0.6,AL15&gt;0.4),"Media",IF(AND(AL15&lt;=0.4,AL15&gt;0.2),"Baja","Muy Baja")))))</f>
        <v>Baja</v>
      </c>
      <c r="AN15" s="28">
        <f>+IF(AA15="Correctivo",(O15-(O15*(AB15+AD15))),O15)</f>
        <v>0.8</v>
      </c>
      <c r="AO15" s="80">
        <f>+IF(L15="","",MIN(AN16:AN17))</f>
        <v>0.8</v>
      </c>
      <c r="AP15" s="86" t="str">
        <f>+IF(AO15="","",IF(AO15&gt;0.8,"Catastrófico",IF(AND(AO15&lt;=0.8,AO15&gt;0.6),"Mayor",IF(AND(AO15&lt;=0.6,AO15&gt;0.4),"Moderado",IF(AND(AO15&lt;=0.4,AO15&gt;0.2),"Menor","Leve")))))</f>
        <v>Mayor</v>
      </c>
      <c r="AQ15" s="83"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89" t="s">
        <v>118</v>
      </c>
      <c r="AS15" s="92">
        <v>30</v>
      </c>
      <c r="AT15" s="29">
        <v>1</v>
      </c>
      <c r="AU15" s="19" t="s">
        <v>119</v>
      </c>
      <c r="AV15" s="19" t="s">
        <v>82</v>
      </c>
      <c r="AW15" s="49" t="s">
        <v>210</v>
      </c>
      <c r="AX15" s="19" t="s">
        <v>120</v>
      </c>
      <c r="AY15" s="19" t="s">
        <v>121</v>
      </c>
      <c r="AZ15" s="18" t="s">
        <v>122</v>
      </c>
      <c r="BA15" s="74"/>
      <c r="BB15" s="95"/>
      <c r="BC15" s="96"/>
    </row>
    <row r="16" spans="1:55" s="30" customFormat="1" ht="105" customHeight="1" thickBot="1" x14ac:dyDescent="0.3">
      <c r="A16" s="100"/>
      <c r="B16" s="75"/>
      <c r="C16" s="90"/>
      <c r="D16" s="75"/>
      <c r="E16" s="133"/>
      <c r="F16" s="90"/>
      <c r="G16" s="84"/>
      <c r="H16" s="90"/>
      <c r="I16" s="75"/>
      <c r="J16" s="75"/>
      <c r="K16" s="75"/>
      <c r="L16" s="75"/>
      <c r="M16" s="81"/>
      <c r="N16" s="84"/>
      <c r="O16" s="116"/>
      <c r="P16" s="87"/>
      <c r="Q16" s="84"/>
      <c r="R16" s="75"/>
      <c r="S16" s="75"/>
      <c r="T16" s="78"/>
      <c r="U16" s="31">
        <v>2</v>
      </c>
      <c r="V16" s="18" t="s">
        <v>97</v>
      </c>
      <c r="W16" s="19" t="s">
        <v>99</v>
      </c>
      <c r="X16" s="19" t="s">
        <v>100</v>
      </c>
      <c r="Y16" s="22" t="str">
        <f t="shared" si="0"/>
        <v>Profesional Universitario(219-04)-Gestión Humana
gestionará capacitaciones para el personal encargado de realizar y liquidar la nómina, con el fin de garantizar el capital humano idóneo para la realización de la función</v>
      </c>
      <c r="Z16" s="19" t="s">
        <v>115</v>
      </c>
      <c r="AA16" s="32" t="s">
        <v>77</v>
      </c>
      <c r="AB16" s="33">
        <f t="shared" ref="AB16:AB20" si="1">+IF(AA16="","",IF(AA16="Preventivo",0.25,IF(AA16="Detectivo",0.15,IF(AA16="Correctivo",0.1,))))</f>
        <v>0.25</v>
      </c>
      <c r="AC16" s="32" t="s">
        <v>66</v>
      </c>
      <c r="AD16" s="33">
        <f t="shared" ref="AD16:AD20" si="2">+IF(AC16="","",IF(AC16="Automático",0.25,IF(AC16="Manual",0.15)))</f>
        <v>0.15</v>
      </c>
      <c r="AE16" s="32" t="s">
        <v>67</v>
      </c>
      <c r="AF16" s="33">
        <f t="shared" ref="AF16:AF20" si="3">+IF(AE16="","",IF(AE16="Documentado",0.5,IF(AE16="Sin documentar",0)))</f>
        <v>0.5</v>
      </c>
      <c r="AG16" s="32" t="s">
        <v>68</v>
      </c>
      <c r="AH16" s="33">
        <f t="shared" ref="AH16:AH20" si="4">+IF(AG16="","",IF(AG16="Continua",0.1,IF(AG16="Aleatoria",0.05)))</f>
        <v>0.1</v>
      </c>
      <c r="AI16" s="32" t="s">
        <v>69</v>
      </c>
      <c r="AJ16" s="34">
        <f t="shared" ref="AJ16:AJ20" si="5">+IF(AI16="","",IF(AI16="Con registro",0.05,IF(AI16="Sin registro",0)))</f>
        <v>0.05</v>
      </c>
      <c r="AK16" s="27">
        <f>IF(AA16="Preventivo",(AK15-(AK15*(AB16+AD16))),(IF(AA16="Detectivo",(AK15-(AK15*(AB16+AD16))),AK15)))</f>
        <v>0.33600000000000002</v>
      </c>
      <c r="AL16" s="81"/>
      <c r="AM16" s="84"/>
      <c r="AN16" s="35">
        <f>+IF(AA16="correctivo",(AN15-(AN15*(AB16+AD16))),AN15)</f>
        <v>0.8</v>
      </c>
      <c r="AO16" s="81"/>
      <c r="AP16" s="87"/>
      <c r="AQ16" s="84"/>
      <c r="AR16" s="90"/>
      <c r="AS16" s="93"/>
      <c r="AT16" s="36">
        <v>2</v>
      </c>
      <c r="AU16" s="19" t="s">
        <v>125</v>
      </c>
      <c r="AV16" s="19" t="s">
        <v>123</v>
      </c>
      <c r="AW16" s="49" t="s">
        <v>217</v>
      </c>
      <c r="AX16" s="19" t="s">
        <v>83</v>
      </c>
      <c r="AY16" s="47" t="s">
        <v>84</v>
      </c>
      <c r="AZ16" s="19" t="s">
        <v>124</v>
      </c>
      <c r="BA16" s="75"/>
      <c r="BB16" s="75"/>
      <c r="BC16" s="97"/>
    </row>
    <row r="17" spans="1:55" s="30" customFormat="1" ht="109.5" customHeight="1" thickBot="1" x14ac:dyDescent="0.3">
      <c r="A17" s="101"/>
      <c r="B17" s="76"/>
      <c r="C17" s="91"/>
      <c r="D17" s="76"/>
      <c r="E17" s="134"/>
      <c r="F17" s="91"/>
      <c r="G17" s="85"/>
      <c r="H17" s="91"/>
      <c r="I17" s="76"/>
      <c r="J17" s="76"/>
      <c r="K17" s="76"/>
      <c r="L17" s="76"/>
      <c r="M17" s="82"/>
      <c r="N17" s="85"/>
      <c r="O17" s="117"/>
      <c r="P17" s="88"/>
      <c r="Q17" s="85"/>
      <c r="R17" s="76"/>
      <c r="S17" s="76"/>
      <c r="T17" s="79"/>
      <c r="U17" s="37">
        <v>3</v>
      </c>
      <c r="V17" s="18" t="s">
        <v>97</v>
      </c>
      <c r="W17" s="20" t="s">
        <v>113</v>
      </c>
      <c r="X17" s="20" t="s">
        <v>114</v>
      </c>
      <c r="Y17" s="22" t="str">
        <f>CONCATENATE(V17,W17,X17)</f>
        <v xml:space="preserve">Profesional Universitario(219-04)-Gestión Humana
 gestionará un apoyo adicional de personal debidamente capacitado con el fin de desconcentrar el conocimiento en un solo funcionario (a) , lo cual representa un riesgo por parálisis de la función en caso de ausentismo. </v>
      </c>
      <c r="Z17" s="20" t="s">
        <v>116</v>
      </c>
      <c r="AA17" s="38" t="s">
        <v>77</v>
      </c>
      <c r="AB17" s="39">
        <f t="shared" si="1"/>
        <v>0.25</v>
      </c>
      <c r="AC17" s="38" t="s">
        <v>66</v>
      </c>
      <c r="AD17" s="39">
        <f t="shared" si="2"/>
        <v>0.15</v>
      </c>
      <c r="AE17" s="38" t="s">
        <v>67</v>
      </c>
      <c r="AF17" s="39">
        <f t="shared" si="3"/>
        <v>0.5</v>
      </c>
      <c r="AG17" s="38" t="s">
        <v>68</v>
      </c>
      <c r="AH17" s="39">
        <f t="shared" si="4"/>
        <v>0.1</v>
      </c>
      <c r="AI17" s="38" t="s">
        <v>69</v>
      </c>
      <c r="AJ17" s="40">
        <f t="shared" si="5"/>
        <v>0.05</v>
      </c>
      <c r="AK17" s="27">
        <f>IF(AA17="Preventivo",(AK16-(AK16*(AB17+AD17))),(IF(AA17="Detectivo",(AK16-(AK16*(AB17+AD17))),AK16)))</f>
        <v>0.2016</v>
      </c>
      <c r="AL17" s="82"/>
      <c r="AM17" s="85"/>
      <c r="AN17" s="35">
        <f>+IF(AA17="correctivo",(AN16-(AN16*(AB17+AD17))),AN16)</f>
        <v>0.8</v>
      </c>
      <c r="AO17" s="82"/>
      <c r="AP17" s="88"/>
      <c r="AQ17" s="85"/>
      <c r="AR17" s="91"/>
      <c r="AS17" s="94"/>
      <c r="AT17" s="42">
        <v>3</v>
      </c>
      <c r="AU17" s="19" t="s">
        <v>241</v>
      </c>
      <c r="AV17" s="19" t="s">
        <v>123</v>
      </c>
      <c r="AW17" s="49" t="s">
        <v>242</v>
      </c>
      <c r="AX17" s="19" t="s">
        <v>243</v>
      </c>
      <c r="AY17" s="22" t="s">
        <v>244</v>
      </c>
      <c r="AZ17" s="20" t="s">
        <v>122</v>
      </c>
      <c r="BA17" s="76"/>
      <c r="BB17" s="76"/>
      <c r="BC17" s="98"/>
    </row>
    <row r="18" spans="1:55" s="30" customFormat="1" ht="123.75" customHeight="1" thickBot="1" x14ac:dyDescent="0.3">
      <c r="A18" s="99" t="s">
        <v>58</v>
      </c>
      <c r="B18" s="74" t="s">
        <v>126</v>
      </c>
      <c r="C18" s="74" t="s">
        <v>76</v>
      </c>
      <c r="D18" s="74" t="s">
        <v>102</v>
      </c>
      <c r="E18" s="74" t="s">
        <v>101</v>
      </c>
      <c r="F18" s="74" t="s">
        <v>134</v>
      </c>
      <c r="G18" s="83" t="str">
        <f>+IF(OR(D18&lt;&gt;"",E18&lt;&gt;"",F18&lt;&gt;""),CONCATENATE("Posibilidad de ",D18," por ",E18," debido a ",F18),"")</f>
        <v>Posibilidad de efecto dañoso por falla en la ejecución de  las funciones por parte del personal, debido a  la poca receptividad sobre el 100% de la participación de los funcionarios en las capacitaciones, talleres, falta de objetividad en la respuesta a los instrumentos de medición para valorar una cultura organizacional, y/o aplicación de la batería de riesgo psicosocial</v>
      </c>
      <c r="H18" s="89" t="s">
        <v>127</v>
      </c>
      <c r="I18" s="74" t="s">
        <v>71</v>
      </c>
      <c r="J18" s="74" t="s">
        <v>73</v>
      </c>
      <c r="K18" s="74" t="s">
        <v>79</v>
      </c>
      <c r="L18" s="74" t="s">
        <v>74</v>
      </c>
      <c r="M18" s="80">
        <f>+IF(K18="Máximo 2 veces",0.2,IF(K18="Entre 3 a 24 veces",0.4,IF(K18="Entre 24 a 500 veces",0.6,IF(K18="Entre 500 a 5000 veces",0.8,IF(K18="Mas de 5000 veces",1,"")))))</f>
        <v>0.6</v>
      </c>
      <c r="N18" s="83" t="str">
        <f>+IF(M18="","",IF(M18&gt;0.8,"Muy Alta",IF(AND(M18&lt;=0.8,M18&gt;0.6),"Alta",IF(AND(M18&lt;=0.6,M18&gt;0.4),"Media",IF(AND(M18&lt;=0.4,M18&gt;0.2),"Baja","Muy Baja")))))</f>
        <v>Media</v>
      </c>
      <c r="O18" s="80">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0.6</v>
      </c>
      <c r="P18" s="86"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Moderado</v>
      </c>
      <c r="Q18" s="83"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Moderado</v>
      </c>
      <c r="R18" s="74" t="s">
        <v>78</v>
      </c>
      <c r="S18" s="74" t="s">
        <v>75</v>
      </c>
      <c r="T18" s="77"/>
      <c r="U18" s="24">
        <v>1</v>
      </c>
      <c r="V18" s="18" t="s">
        <v>97</v>
      </c>
      <c r="W18" s="18" t="s">
        <v>128</v>
      </c>
      <c r="X18" s="18" t="s">
        <v>129</v>
      </c>
      <c r="Y18" s="22" t="str">
        <f t="shared" ref="Y18:Y19" si="6">CONCATENATE(V18,W18,X18)</f>
        <v xml:space="preserve">Profesional Universitario(219-04)-Gestión Humana
coordinará con los jefes de área las disponibilidades de los horarios del personal a cargo para efectos de recibir de manera efectiva las capacitaciones y de éste modo generar los respectivos cronogramas para las mismas. </v>
      </c>
      <c r="Z18" s="18" t="s">
        <v>130</v>
      </c>
      <c r="AA18" s="25" t="s">
        <v>77</v>
      </c>
      <c r="AB18" s="26">
        <f>+IF(AA18="","",IF(AA18="Preventivo",0.25,IF(AA18="Detectivo",0.15,IF(AA18="Correctivo",0.1,))))</f>
        <v>0.25</v>
      </c>
      <c r="AC18" s="25" t="s">
        <v>66</v>
      </c>
      <c r="AD18" s="26">
        <f>+IF(AC18="","",IF(AC18="Automático",0.25,IF(AC18="Manual",0.15)))</f>
        <v>0.15</v>
      </c>
      <c r="AE18" s="25" t="s">
        <v>67</v>
      </c>
      <c r="AF18" s="26">
        <f>+IF(AE18="","",IF(AE18="Documentado",0.5,IF(AE18="Sin documentar",0)))</f>
        <v>0.5</v>
      </c>
      <c r="AG18" s="25" t="s">
        <v>68</v>
      </c>
      <c r="AH18" s="26">
        <f>+IF(AG18="","",IF(AG18="Continua",0.1,IF(AG18="Aleatoria",0.05)))</f>
        <v>0.1</v>
      </c>
      <c r="AI18" s="25" t="s">
        <v>69</v>
      </c>
      <c r="AJ18" s="27">
        <f>+IF(AI18="","",IF(AI18="Con registro",0.05,IF(AI18="Sin registro",0)))</f>
        <v>0.05</v>
      </c>
      <c r="AK18" s="27">
        <f>+IF(M18="","",(M18-(+SUM(AB18,AD18)*M18)))</f>
        <v>0.36</v>
      </c>
      <c r="AL18" s="80">
        <f>+IF(M18="","",MIN(AK18:AK20))</f>
        <v>0.108</v>
      </c>
      <c r="AM18" s="83" t="str">
        <f>+IF(AL18="","",IF(AL18&gt;0.8,"Muy Alta",IF(AND(AL18&lt;=0.8,AL18&gt;0.6),"Alta",IF(AND(AL18&lt;=0.6,AL18&gt;0.4),"Media",IF(AND(AL18&lt;=0.4,AL18&gt;0.2),"Baja","Muy Baja")))))</f>
        <v>Muy Baja</v>
      </c>
      <c r="AN18" s="28">
        <f>+IF(OR(S18="",S18="No"),O18,O18-(O18*T18))</f>
        <v>0.6</v>
      </c>
      <c r="AO18" s="80">
        <f>+IF(L18="","",MIN(AN19:AN20))</f>
        <v>6.4799999999999996E-2</v>
      </c>
      <c r="AP18" s="86" t="str">
        <f>+IF(AO18="","",IF(AO18&gt;0.8,"Catastrófico",IF(AND(AO18&lt;=0.8,AO18&gt;0.6),"Mayor",IF(AND(AO18&lt;=0.6,AO18&gt;0.4),"Moderado",IF(AND(AO18&lt;=0.4,AO18&gt;0.2),"Menor","Leve")))))</f>
        <v>Leve</v>
      </c>
      <c r="AQ18" s="83" t="str">
        <f t="shared" ref="AQ18" si="7">+IF(OR(AL18="",AO18=""),"",IF(AND(AP18="Catastrófico",AM18&lt;&gt;""),"Extremo",IF(AND(AP18="Mayor",AM18&lt;&gt;""),"Alto",IF(AND(AM18="Muy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Bajo</v>
      </c>
      <c r="AR18" s="89" t="s">
        <v>138</v>
      </c>
      <c r="AS18" s="136">
        <v>0.3</v>
      </c>
      <c r="AT18" s="29">
        <v>1</v>
      </c>
      <c r="AU18" s="46" t="s">
        <v>139</v>
      </c>
      <c r="AV18" s="19" t="s">
        <v>82</v>
      </c>
      <c r="AW18" s="49" t="s">
        <v>210</v>
      </c>
      <c r="AX18" s="46" t="s">
        <v>240</v>
      </c>
      <c r="AY18" s="46" t="s">
        <v>140</v>
      </c>
      <c r="AZ18" s="18" t="s">
        <v>122</v>
      </c>
      <c r="BA18" s="74"/>
      <c r="BB18" s="95"/>
      <c r="BC18" s="96"/>
    </row>
    <row r="19" spans="1:55" s="30" customFormat="1" ht="122.25" customHeight="1" thickBot="1" x14ac:dyDescent="0.3">
      <c r="A19" s="100"/>
      <c r="B19" s="75"/>
      <c r="C19" s="75"/>
      <c r="D19" s="75"/>
      <c r="E19" s="75"/>
      <c r="F19" s="75"/>
      <c r="G19" s="84"/>
      <c r="H19" s="90"/>
      <c r="I19" s="75"/>
      <c r="J19" s="75"/>
      <c r="K19" s="75"/>
      <c r="L19" s="75"/>
      <c r="M19" s="81"/>
      <c r="N19" s="84"/>
      <c r="O19" s="81"/>
      <c r="P19" s="87"/>
      <c r="Q19" s="84"/>
      <c r="R19" s="75"/>
      <c r="S19" s="75"/>
      <c r="T19" s="78"/>
      <c r="U19" s="31">
        <v>2</v>
      </c>
      <c r="V19" s="18" t="s">
        <v>97</v>
      </c>
      <c r="W19" s="19" t="s">
        <v>131</v>
      </c>
      <c r="X19" s="19" t="s">
        <v>132</v>
      </c>
      <c r="Y19" s="22" t="str">
        <f t="shared" si="6"/>
        <v xml:space="preserve">Profesional Universitario(219-04)-Gestión Humana
establecerá la obligatoriedad de las capacitaciones según el tema y convocatoria (Numeral 40 del Art. 34 de la Ley 734 de 2002) para efectos de citar a los funcionarios con fundamento en la citada norma. </v>
      </c>
      <c r="Z19" s="19" t="s">
        <v>133</v>
      </c>
      <c r="AA19" s="32" t="s">
        <v>77</v>
      </c>
      <c r="AB19" s="33">
        <f t="shared" si="1"/>
        <v>0.25</v>
      </c>
      <c r="AC19" s="32" t="s">
        <v>85</v>
      </c>
      <c r="AD19" s="33">
        <f t="shared" si="2"/>
        <v>0.25</v>
      </c>
      <c r="AE19" s="32" t="s">
        <v>67</v>
      </c>
      <c r="AF19" s="33">
        <f t="shared" si="3"/>
        <v>0.5</v>
      </c>
      <c r="AG19" s="32" t="s">
        <v>68</v>
      </c>
      <c r="AH19" s="33">
        <f t="shared" si="4"/>
        <v>0.1</v>
      </c>
      <c r="AI19" s="32" t="s">
        <v>69</v>
      </c>
      <c r="AJ19" s="34">
        <f t="shared" si="5"/>
        <v>0.05</v>
      </c>
      <c r="AK19" s="27">
        <f>+IF(AK18="","",AK18-(+SUM(AB19,AD19)*AK18))</f>
        <v>0.18</v>
      </c>
      <c r="AL19" s="81"/>
      <c r="AM19" s="84"/>
      <c r="AN19" s="35">
        <f>+IF(AND(AA18="Correctivo",AA19="Correctivo",AA20="Correctivo"),AN18-(0.3*AN18),IF(AND(AA18="Correctivo",OR(AA19="Correctivo",AA20="Correctivo")),AN18-(0.2*AN18),IF(AND(AA19="Correctivo",OR(AA18="Correctivo",AA20="Correctivo")),AN18-(0.2*AN18),IF(AND(AA20="Correctivo",OR(AA19="Correctivo",AA18="Correctivo")),AN18-(0.2*AN18),IF(OR(AA18="Correctivo",AA19="Correctivo",AA20="Correctivo"),AN18-(0.1*AN18),AN18)))))</f>
        <v>0.6</v>
      </c>
      <c r="AO19" s="81"/>
      <c r="AP19" s="87"/>
      <c r="AQ19" s="84"/>
      <c r="AR19" s="90"/>
      <c r="AS19" s="93"/>
      <c r="AT19" s="36">
        <v>2</v>
      </c>
      <c r="AU19" s="19" t="s">
        <v>141</v>
      </c>
      <c r="AV19" s="19" t="s">
        <v>86</v>
      </c>
      <c r="AW19" s="49" t="s">
        <v>210</v>
      </c>
      <c r="AX19" s="19" t="s">
        <v>142</v>
      </c>
      <c r="AY19" s="19" t="s">
        <v>96</v>
      </c>
      <c r="AZ19" s="19" t="s">
        <v>124</v>
      </c>
      <c r="BA19" s="75"/>
      <c r="BB19" s="75"/>
      <c r="BC19" s="97"/>
    </row>
    <row r="20" spans="1:55" s="30" customFormat="1" ht="129" customHeight="1" thickBot="1" x14ac:dyDescent="0.3">
      <c r="A20" s="101"/>
      <c r="B20" s="76"/>
      <c r="C20" s="76"/>
      <c r="D20" s="76"/>
      <c r="E20" s="76"/>
      <c r="F20" s="76"/>
      <c r="G20" s="85"/>
      <c r="H20" s="91"/>
      <c r="I20" s="76"/>
      <c r="J20" s="76"/>
      <c r="K20" s="76"/>
      <c r="L20" s="76"/>
      <c r="M20" s="82"/>
      <c r="N20" s="85"/>
      <c r="O20" s="82"/>
      <c r="P20" s="88"/>
      <c r="Q20" s="85"/>
      <c r="R20" s="76"/>
      <c r="S20" s="76"/>
      <c r="T20" s="79"/>
      <c r="U20" s="37">
        <v>3</v>
      </c>
      <c r="V20" s="18" t="s">
        <v>97</v>
      </c>
      <c r="W20" s="20" t="s">
        <v>135</v>
      </c>
      <c r="X20" s="20" t="s">
        <v>136</v>
      </c>
      <c r="Y20" s="22" t="str">
        <f>CONCATENATE(V20,W20,X20)</f>
        <v xml:space="preserve">Profesional Universitario(219-04)-Gestión Humana
promoverá la aplicación de instrumentos como: código de buen gobierno , código disciplinario, políticas de la entidad, y manuales con el fin de generar clima organizacional y conciencia sobre la importancia de participar en las capacitaciones e instrumentos de medición establecidos por la entidad </v>
      </c>
      <c r="Z20" s="20" t="s">
        <v>137</v>
      </c>
      <c r="AA20" s="38" t="s">
        <v>77</v>
      </c>
      <c r="AB20" s="39">
        <f t="shared" si="1"/>
        <v>0.25</v>
      </c>
      <c r="AC20" s="38" t="s">
        <v>66</v>
      </c>
      <c r="AD20" s="39">
        <f t="shared" si="2"/>
        <v>0.15</v>
      </c>
      <c r="AE20" s="38" t="s">
        <v>67</v>
      </c>
      <c r="AF20" s="39">
        <f t="shared" si="3"/>
        <v>0.5</v>
      </c>
      <c r="AG20" s="38" t="s">
        <v>68</v>
      </c>
      <c r="AH20" s="39">
        <f t="shared" si="4"/>
        <v>0.1</v>
      </c>
      <c r="AI20" s="38" t="s">
        <v>69</v>
      </c>
      <c r="AJ20" s="40">
        <f t="shared" si="5"/>
        <v>0.05</v>
      </c>
      <c r="AK20" s="27">
        <f>+IF(AK19="","",AK19-(+SUM(AB20,AD20)*AK19))</f>
        <v>0.108</v>
      </c>
      <c r="AL20" s="82"/>
      <c r="AM20" s="85"/>
      <c r="AN20" s="41">
        <f>+IF(R18="Evitar",(AL18*O18),MIN(AN19:AN19))</f>
        <v>6.4799999999999996E-2</v>
      </c>
      <c r="AO20" s="82"/>
      <c r="AP20" s="88"/>
      <c r="AQ20" s="85"/>
      <c r="AR20" s="91"/>
      <c r="AS20" s="94"/>
      <c r="AT20" s="42">
        <v>3</v>
      </c>
      <c r="AU20" s="20" t="s">
        <v>143</v>
      </c>
      <c r="AV20" s="19" t="s">
        <v>86</v>
      </c>
      <c r="AW20" s="49" t="s">
        <v>210</v>
      </c>
      <c r="AX20" s="20" t="s">
        <v>144</v>
      </c>
      <c r="AY20" s="19" t="s">
        <v>145</v>
      </c>
      <c r="AZ20" s="20" t="s">
        <v>122</v>
      </c>
      <c r="BA20" s="76"/>
      <c r="BB20" s="76"/>
      <c r="BC20" s="98"/>
    </row>
    <row r="21" spans="1:55" s="30" customFormat="1" ht="129.75" customHeight="1" thickBot="1" x14ac:dyDescent="0.3">
      <c r="A21" s="99" t="s">
        <v>59</v>
      </c>
      <c r="B21" s="74" t="s">
        <v>147</v>
      </c>
      <c r="C21" s="74" t="s">
        <v>76</v>
      </c>
      <c r="D21" s="74" t="s">
        <v>102</v>
      </c>
      <c r="E21" s="74" t="s">
        <v>104</v>
      </c>
      <c r="F21" s="74" t="s">
        <v>148</v>
      </c>
      <c r="G21" s="83" t="str">
        <f>+IF(OR(D21&lt;&gt;"",E21&lt;&gt;"",F21&lt;&gt;""),CONCATENATE("Posibilidad de ",D21," por ",E21," debido a ",F21),"")</f>
        <v xml:space="preserve">Posibilidad de efecto dañoso por fuga de conocimiento y/o de la información  debido a cambio de la planta de personal y/o salida de contratistas.  </v>
      </c>
      <c r="H21" s="89" t="s">
        <v>149</v>
      </c>
      <c r="I21" s="74" t="s">
        <v>71</v>
      </c>
      <c r="J21" s="74" t="s">
        <v>73</v>
      </c>
      <c r="K21" s="74" t="s">
        <v>79</v>
      </c>
      <c r="L21" s="74" t="s">
        <v>74</v>
      </c>
      <c r="M21" s="80">
        <f>+IF(K21="Máximo 2 veces",0.2,IF(K21="Entre 3 a 24 veces",0.4,IF(K21="Entre 24 a 500 veces",0.6,IF(K21="Entre 500 a 5000 veces",0.8,IF(K21="Mas de 5000 veces",1,"")))))</f>
        <v>0.6</v>
      </c>
      <c r="N21" s="83" t="str">
        <f>+IF(M21="","",IF(M21&gt;0.8,"Muy Alta",IF(AND(M21&lt;=0.8,M21&gt;0.6),"Alta",IF(AND(M21&lt;=0.6,M21&gt;0.4),"Media",IF(AND(M21&lt;=0.4,M21&gt;0.2),"Baja","Muy Baja")))))</f>
        <v>Media</v>
      </c>
      <c r="O21" s="80">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0.6</v>
      </c>
      <c r="P21" s="86"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Moderado</v>
      </c>
      <c r="Q21" s="83"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74" t="s">
        <v>70</v>
      </c>
      <c r="S21" s="74" t="s">
        <v>75</v>
      </c>
      <c r="T21" s="77"/>
      <c r="U21" s="24">
        <v>1</v>
      </c>
      <c r="V21" s="18" t="s">
        <v>97</v>
      </c>
      <c r="W21" s="18" t="s">
        <v>151</v>
      </c>
      <c r="X21" s="18" t="s">
        <v>152</v>
      </c>
      <c r="Y21" s="23" t="str">
        <f>CONCATENATE(V21,W21,X21)</f>
        <v>Profesional Universitario(219-04)-Gestión Humana
implementación y socialización de estrategias para el manejo de la información de la entidad , con el fin que el personal de planta de la entidad participe activamente en las actividades y/o proyectos que se desarrollen para garantizar su continuidad en el tiempo.</v>
      </c>
      <c r="Z21" s="18" t="s">
        <v>153</v>
      </c>
      <c r="AA21" s="25" t="s">
        <v>77</v>
      </c>
      <c r="AB21" s="26">
        <f>+IF(AA21="","",IF(AA21="Preventivo",0.25,IF(AA21="Detectivo",0.15,IF(AA21="Correctivo",0.1,))))</f>
        <v>0.25</v>
      </c>
      <c r="AC21" s="25" t="s">
        <v>66</v>
      </c>
      <c r="AD21" s="26">
        <f>+IF(AC21="","",IF(AC21="Automático",0.25,IF(AC21="Manual",0.15)))</f>
        <v>0.15</v>
      </c>
      <c r="AE21" s="25" t="s">
        <v>67</v>
      </c>
      <c r="AF21" s="26">
        <f>+IF(AE21="","",IF(AE21="Documentado",0.5,IF(AE21="Sin documentar",0)))</f>
        <v>0.5</v>
      </c>
      <c r="AG21" s="25" t="s">
        <v>68</v>
      </c>
      <c r="AH21" s="26">
        <f>+IF(AG21="","",IF(AG21="Continua",0.1,IF(AG21="Aleatoria",0.05)))</f>
        <v>0.1</v>
      </c>
      <c r="AI21" s="25" t="s">
        <v>69</v>
      </c>
      <c r="AJ21" s="27">
        <f>+IF(AI21="","",IF(AI21="Con registro",0.05,IF(AI21="Sin registro",0)))</f>
        <v>0.05</v>
      </c>
      <c r="AK21" s="27">
        <f>+IF(M21="","",M21-(SUM(AB21,AD21,AF21,AH21,AJ21)*M21))</f>
        <v>-3.0000000000000027E-2</v>
      </c>
      <c r="AL21" s="80">
        <f>+IF(M21="","",MIN(AK21:AK23))</f>
        <v>-3.0000000000000027E-2</v>
      </c>
      <c r="AM21" s="83" t="str">
        <f>+IF(AL21="","",IF(AL21&gt;0.8,"Muy Alta",IF(AND(AL21&lt;=0.8,AL21&gt;0.6),"Alta",IF(AND(AL21&lt;=0.6,AL21&gt;0.4),"Media",IF(AND(AL21&lt;=0.4,AL21&gt;0.2),"Baja","Muy Baja")))))</f>
        <v>Muy Baja</v>
      </c>
      <c r="AN21" s="28">
        <f>+IF(OR(S21="",S21="No"),O21,O21-(O21*T21))</f>
        <v>0.6</v>
      </c>
      <c r="AO21" s="80">
        <f>+IF(L21="","",MIN(AN22:AN23))</f>
        <v>0.6</v>
      </c>
      <c r="AP21" s="86" t="str">
        <f>+IF(AO21="","",IF(AO21&gt;0.8,"Catastrófico",IF(AND(AO21&lt;=0.8,AO21&gt;0.6),"Mayor",IF(AND(AO21&lt;=0.6,AO21&gt;0.4),"Moderado",IF(AND(AO21&lt;=0.4,AO21&gt;0.2),"Menor","Leve")))))</f>
        <v>Moderado</v>
      </c>
      <c r="AQ21" s="83" t="str">
        <f t="shared" ref="AQ21" si="8">+IF(OR(AL21="",AO21=""),"",IF(AND(AP21="Catastrófico",AM21&lt;&gt;""),"Extremo",IF(AND(AP21="Mayor",AM21&lt;&gt;""),"Alto",IF(AND(AM21="Muy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89" t="s">
        <v>161</v>
      </c>
      <c r="AS21" s="92">
        <v>50</v>
      </c>
      <c r="AT21" s="29">
        <v>1</v>
      </c>
      <c r="AU21" s="18" t="s">
        <v>206</v>
      </c>
      <c r="AV21" s="19" t="s">
        <v>87</v>
      </c>
      <c r="AW21" s="49" t="s">
        <v>210</v>
      </c>
      <c r="AX21" s="18" t="s">
        <v>207</v>
      </c>
      <c r="AY21" s="19" t="s">
        <v>146</v>
      </c>
      <c r="AZ21" s="18" t="s">
        <v>122</v>
      </c>
      <c r="BA21" s="74"/>
      <c r="BB21" s="95"/>
      <c r="BC21" s="96"/>
    </row>
    <row r="22" spans="1:55" s="30" customFormat="1" ht="208.5" customHeight="1" thickBot="1" x14ac:dyDescent="0.25">
      <c r="A22" s="100"/>
      <c r="B22" s="75"/>
      <c r="C22" s="75"/>
      <c r="D22" s="75"/>
      <c r="E22" s="75"/>
      <c r="F22" s="75"/>
      <c r="G22" s="84"/>
      <c r="H22" s="90"/>
      <c r="I22" s="75"/>
      <c r="J22" s="75"/>
      <c r="K22" s="75"/>
      <c r="L22" s="75"/>
      <c r="M22" s="81"/>
      <c r="N22" s="84"/>
      <c r="O22" s="81"/>
      <c r="P22" s="87"/>
      <c r="Q22" s="84"/>
      <c r="R22" s="75"/>
      <c r="S22" s="75"/>
      <c r="T22" s="78"/>
      <c r="U22" s="31">
        <v>2</v>
      </c>
      <c r="V22" s="18" t="s">
        <v>97</v>
      </c>
      <c r="W22" s="19" t="s">
        <v>248</v>
      </c>
      <c r="X22" s="19" t="s">
        <v>150</v>
      </c>
      <c r="Y22" s="23" t="str">
        <f t="shared" ref="Y22:Y23" si="9">CONCATENATE(V22,W22,X22)</f>
        <v xml:space="preserve">Profesional Universitario(219-04)-Gestión Humana
se solicitara el diligenciamiento y verificación de formatos de entrega de cargos 
remitir a cada uno de los procesos circular informativa recordando la obligacion de entregar los cargos diligenciando el formato establecido por el SIG,con el fin de determinar el cumplimiento y coherencia de las funciones descritas en el mismo ,versus las actividades de los procesos. </v>
      </c>
      <c r="Z22" s="19" t="s">
        <v>173</v>
      </c>
      <c r="AA22" s="32" t="s">
        <v>77</v>
      </c>
      <c r="AB22" s="33">
        <f t="shared" ref="AB22:AB23" si="10">+IF(AA22="","",IF(AA22="Preventivo",0.25,IF(AA22="Detectivo",0.15,IF(AA22="Correctivo",0.1,))))</f>
        <v>0.25</v>
      </c>
      <c r="AC22" s="32" t="s">
        <v>66</v>
      </c>
      <c r="AD22" s="33">
        <f t="shared" ref="AD22:AD23" si="11">+IF(AC22="","",IF(AC22="Automático",0.25,IF(AC22="Manual",0.15)))</f>
        <v>0.15</v>
      </c>
      <c r="AE22" s="32" t="s">
        <v>67</v>
      </c>
      <c r="AF22" s="33">
        <f t="shared" ref="AF22:AF23" si="12">+IF(AE22="","",IF(AE22="Documentado",0.5,IF(AE22="Sin documentar",0)))</f>
        <v>0.5</v>
      </c>
      <c r="AG22" s="32" t="s">
        <v>68</v>
      </c>
      <c r="AH22" s="33">
        <f t="shared" ref="AH22:AH23" si="13">+IF(AG22="","",IF(AG22="Continua",0.1,IF(AG22="Aleatoria",0.05)))</f>
        <v>0.1</v>
      </c>
      <c r="AI22" s="32" t="s">
        <v>69</v>
      </c>
      <c r="AJ22" s="34">
        <f t="shared" ref="AJ22:AJ23" si="14">+IF(AI22="","",IF(AI22="Con registro",0.05,IF(AI22="Sin registro",0)))</f>
        <v>0.05</v>
      </c>
      <c r="AK22" s="34">
        <f>+IF(AK21="","",AK21-(SUM(AB22,AD22,AF22,AH22,AJ22)*AK21))</f>
        <v>1.5000000000000013E-3</v>
      </c>
      <c r="AL22" s="81"/>
      <c r="AM22" s="84"/>
      <c r="AN22" s="35">
        <f>+IF(AND(AA21="Correctivo",AA22="Correctivo",AA23="Correctivo"),AN21-(0.3*AN21),IF(AND(AA21="Correctivo",OR(AA22="Correctivo",AA23="Correctivo")),AN21-(0.2*AN21),IF(AND(AA22="Correctivo",OR(AA21="Correctivo",AA23="Correctivo")),AN21-(0.2*AN21),IF(AND(AA23="Correctivo",OR(AA22="Correctivo",AA21="Correctivo")),AN21-(0.2*AN21),IF(OR(AA21="Correctivo",AA22="Correctivo",AA23="Correctivo"),AN21-(0.1*AN21),AN21)))))</f>
        <v>0.6</v>
      </c>
      <c r="AO22" s="81"/>
      <c r="AP22" s="87"/>
      <c r="AQ22" s="84"/>
      <c r="AR22" s="90"/>
      <c r="AS22" s="93"/>
      <c r="AT22" s="36">
        <v>2</v>
      </c>
      <c r="AU22" s="50" t="s">
        <v>208</v>
      </c>
      <c r="AV22" s="19" t="s">
        <v>87</v>
      </c>
      <c r="AW22" s="49" t="s">
        <v>210</v>
      </c>
      <c r="AX22" s="58" t="s">
        <v>207</v>
      </c>
      <c r="AY22" s="19" t="s">
        <v>159</v>
      </c>
      <c r="AZ22" s="19" t="s">
        <v>122</v>
      </c>
      <c r="BA22" s="75"/>
      <c r="BB22" s="75"/>
      <c r="BC22" s="97"/>
    </row>
    <row r="23" spans="1:55" s="30" customFormat="1" ht="125.25" customHeight="1" thickBot="1" x14ac:dyDescent="0.3">
      <c r="A23" s="101"/>
      <c r="B23" s="76"/>
      <c r="C23" s="76"/>
      <c r="D23" s="76"/>
      <c r="E23" s="76"/>
      <c r="F23" s="76"/>
      <c r="G23" s="85"/>
      <c r="H23" s="91"/>
      <c r="I23" s="76"/>
      <c r="J23" s="76"/>
      <c r="K23" s="76"/>
      <c r="L23" s="76"/>
      <c r="M23" s="82"/>
      <c r="N23" s="85"/>
      <c r="O23" s="82"/>
      <c r="P23" s="88"/>
      <c r="Q23" s="85"/>
      <c r="R23" s="76"/>
      <c r="S23" s="76"/>
      <c r="T23" s="79"/>
      <c r="U23" s="37">
        <v>3</v>
      </c>
      <c r="V23" s="18" t="s">
        <v>97</v>
      </c>
      <c r="W23" s="20" t="s">
        <v>154</v>
      </c>
      <c r="X23" s="20" t="s">
        <v>155</v>
      </c>
      <c r="Y23" s="23" t="str">
        <f t="shared" si="9"/>
        <v xml:space="preserve">Profesional Universitario(219-04)-Gestión Humana
realizará la sensibilización y fortalecimiento a las labores de supervisión con el fin de realizar un seguimiento y contextualización eficaz de las labores ejecutadas por los contratistas de la entidad. </v>
      </c>
      <c r="Z23" s="20" t="s">
        <v>156</v>
      </c>
      <c r="AA23" s="38" t="s">
        <v>77</v>
      </c>
      <c r="AB23" s="39">
        <f t="shared" si="10"/>
        <v>0.25</v>
      </c>
      <c r="AC23" s="38" t="s">
        <v>66</v>
      </c>
      <c r="AD23" s="39">
        <f t="shared" si="11"/>
        <v>0.15</v>
      </c>
      <c r="AE23" s="38" t="s">
        <v>67</v>
      </c>
      <c r="AF23" s="39">
        <f t="shared" si="12"/>
        <v>0.5</v>
      </c>
      <c r="AG23" s="38" t="s">
        <v>68</v>
      </c>
      <c r="AH23" s="39">
        <f t="shared" si="13"/>
        <v>0.1</v>
      </c>
      <c r="AI23" s="38" t="s">
        <v>69</v>
      </c>
      <c r="AJ23" s="40">
        <f t="shared" si="14"/>
        <v>0.05</v>
      </c>
      <c r="AK23" s="40">
        <f>+IF(AK22="","",AK22-(SUM(AB23,AD23,AF23,AH23,AJ23)*AK22))</f>
        <v>-7.5000000000000197E-5</v>
      </c>
      <c r="AL23" s="82"/>
      <c r="AM23" s="85"/>
      <c r="AN23" s="41">
        <f>+IF(R21="Evitar",#REF!-(#REF!*0.1),MIN(AN22:AN22))</f>
        <v>0.6</v>
      </c>
      <c r="AO23" s="82"/>
      <c r="AP23" s="88"/>
      <c r="AQ23" s="85"/>
      <c r="AR23" s="91"/>
      <c r="AS23" s="94"/>
      <c r="AT23" s="42">
        <v>3</v>
      </c>
      <c r="AU23" s="20" t="s">
        <v>157</v>
      </c>
      <c r="AV23" s="19" t="s">
        <v>87</v>
      </c>
      <c r="AW23" s="49" t="s">
        <v>210</v>
      </c>
      <c r="AX23" s="20" t="s">
        <v>158</v>
      </c>
      <c r="AY23" s="19" t="s">
        <v>160</v>
      </c>
      <c r="AZ23" s="20" t="s">
        <v>124</v>
      </c>
      <c r="BA23" s="76"/>
      <c r="BB23" s="76"/>
      <c r="BC23" s="98"/>
    </row>
    <row r="24" spans="1:55" s="30" customFormat="1" ht="129.75" customHeight="1" thickBot="1" x14ac:dyDescent="0.3">
      <c r="A24" s="99" t="s">
        <v>103</v>
      </c>
      <c r="B24" s="74" t="s">
        <v>107</v>
      </c>
      <c r="C24" s="74" t="s">
        <v>76</v>
      </c>
      <c r="D24" s="74" t="s">
        <v>65</v>
      </c>
      <c r="E24" s="74" t="s">
        <v>164</v>
      </c>
      <c r="F24" s="74" t="s">
        <v>108</v>
      </c>
      <c r="G24" s="83" t="str">
        <f t="shared" ref="G24" si="15">+IF(OR(D24&lt;&gt;"",E24&lt;&gt;"",F24&lt;&gt;""),CONCATENATE("Posibilidad de ",D24," por ",E24," debido a ",F24),"")</f>
        <v xml:space="preserve">Posibilidad de afectación económica y reputacional por  fallas en el proceso de selección y/o vinculación de personal  debido a  desconocimiento de las disposiciones normativas en materia de selección de personal y/o falta de controles y seguimientos  </v>
      </c>
      <c r="H24" s="89" t="s">
        <v>163</v>
      </c>
      <c r="I24" s="74" t="s">
        <v>71</v>
      </c>
      <c r="J24" s="74" t="s">
        <v>73</v>
      </c>
      <c r="K24" s="74" t="s">
        <v>174</v>
      </c>
      <c r="L24" s="74" t="s">
        <v>74</v>
      </c>
      <c r="M24" s="80">
        <f>+IF(K24="Máximo 2 veces",0.2,IF(K24="Entre 3 a 24 veces",0.4,IF(K24="Entre 24 a 500 veces",0.6,IF(K24="Entre 500 a 5000 veces",0.8,IF(K24="Mas de 5000 veces",1,"")))))</f>
        <v>0.4</v>
      </c>
      <c r="N24" s="83" t="str">
        <f>+IF(M24="","",IF(M24&gt;0.8,"Muy Alta",IF(AND(M24&lt;=0.8,M24&gt;0.6),"Alta",IF(AND(M24&lt;=0.6,M24&gt;0.4),"Media",IF(AND(M24&lt;=0.4,M24&gt;0.2),"Baja","Muy Baja")))))</f>
        <v>Baja</v>
      </c>
      <c r="O24" s="80">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0.6</v>
      </c>
      <c r="P24" s="86"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Moderado</v>
      </c>
      <c r="Q24" s="83"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Moderado</v>
      </c>
      <c r="R24" s="74" t="s">
        <v>70</v>
      </c>
      <c r="S24" s="74" t="s">
        <v>75</v>
      </c>
      <c r="T24" s="77"/>
      <c r="U24" s="24">
        <v>1</v>
      </c>
      <c r="V24" s="18" t="s">
        <v>97</v>
      </c>
      <c r="W24" s="18" t="s">
        <v>168</v>
      </c>
      <c r="X24" s="18" t="s">
        <v>165</v>
      </c>
      <c r="Y24" s="21" t="str">
        <f>CONCATENATE(V24,W24,X24)</f>
        <v xml:space="preserve">Profesional Universitario(219-04)-Gestión Humana
Revisar jurídicamente la viabilidad de la oferta de cargos, necesidades de la entidad a través de un estudio técnico y jurídico, teniendo en cuenta la disponibilidad de recursos y destinación del gasto público de conformidad con la naturaleza jurídica de la entidad, sus procesos y su misionalidad. </v>
      </c>
      <c r="Z24" s="18" t="s">
        <v>253</v>
      </c>
      <c r="AA24" s="25" t="s">
        <v>77</v>
      </c>
      <c r="AB24" s="26">
        <f>+IF(AA24="","",IF(AA24="Preventivo",0.25,IF(AA24="Detectivo",0.15,IF(AA24="Correctivo",0.1,))))</f>
        <v>0.25</v>
      </c>
      <c r="AC24" s="25" t="s">
        <v>66</v>
      </c>
      <c r="AD24" s="26">
        <f>+IF(AC24="","",IF(AC24="Automático",0.25,IF(AC24="Manual",0.15)))</f>
        <v>0.15</v>
      </c>
      <c r="AE24" s="25" t="s">
        <v>67</v>
      </c>
      <c r="AF24" s="26">
        <f>+IF(AE24="","",IF(AE24="Documentado",0.5,IF(AE24="Sin documentar",0)))</f>
        <v>0.5</v>
      </c>
      <c r="AG24" s="25" t="s">
        <v>68</v>
      </c>
      <c r="AH24" s="26">
        <f>+IF(AG24="","",IF(AG24="Continua",0.1,IF(AG24="Aleatoria",0.05)))</f>
        <v>0.1</v>
      </c>
      <c r="AI24" s="25" t="s">
        <v>69</v>
      </c>
      <c r="AJ24" s="27">
        <f>+IF(AI24="","",IF(AI24="Con registro",0.05,IF(AI24="Sin registro",0)))</f>
        <v>0.05</v>
      </c>
      <c r="AK24" s="27">
        <f>+IF(M24="","",M24-(SUM(AB24,AD24,AF24,AH24,AJ24)*M24))</f>
        <v>-2.0000000000000018E-2</v>
      </c>
      <c r="AL24" s="80">
        <f>+IF(M24="","",MIN(AK24:AK26))</f>
        <v>-2.0000000000000018E-2</v>
      </c>
      <c r="AM24" s="83" t="str">
        <f>+IF(AL24="","",IF(AL24&gt;0.8,"Muy Alta",IF(AND(AL24&lt;=0.8,AL24&gt;0.6),"Alta",IF(AND(AL24&lt;=0.6,AL24&gt;0.4),"Media",IF(AND(AL24&lt;=0.4,AL24&gt;0.2),"Baja","Muy Baja")))))</f>
        <v>Muy Baja</v>
      </c>
      <c r="AN24" s="28">
        <f>+IF(OR(S24="",S24="No"),O24,O24-(O24*T24))</f>
        <v>0.6</v>
      </c>
      <c r="AO24" s="80">
        <f>+IF(L24="","",MIN(AN25:AN26))</f>
        <v>0.6</v>
      </c>
      <c r="AP24" s="86" t="str">
        <f>+IF(AO24="","",IF(AO24&gt;0.8,"Catastrófico",IF(AND(AO24&lt;=0.8,AO24&gt;0.6),"Mayor",IF(AND(AO24&lt;=0.6,AO24&gt;0.4),"Moderado",IF(AND(AO24&lt;=0.4,AO24&gt;0.2),"Menor","Leve")))))</f>
        <v>Moderado</v>
      </c>
      <c r="AQ24" s="83" t="str">
        <f t="shared" ref="AQ24" si="16">+IF(OR(AL24="",AO24=""),"",IF(AND(AP24="Catastrófico",AM24&lt;&gt;""),"Extremo",IF(AND(AP24="Mayor",AM24&lt;&gt;""),"Alto",IF(AND(AM24="Muy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Bajo</v>
      </c>
      <c r="AR24" s="89" t="s">
        <v>209</v>
      </c>
      <c r="AS24" s="92">
        <v>30</v>
      </c>
      <c r="AT24" s="29">
        <v>1</v>
      </c>
      <c r="AU24" s="18" t="s">
        <v>171</v>
      </c>
      <c r="AV24" s="19" t="s">
        <v>87</v>
      </c>
      <c r="AW24" s="49" t="s">
        <v>210</v>
      </c>
      <c r="AX24" s="18" t="s">
        <v>170</v>
      </c>
      <c r="AY24" s="20" t="s">
        <v>162</v>
      </c>
      <c r="AZ24" s="18" t="s">
        <v>124</v>
      </c>
      <c r="BA24" s="74"/>
      <c r="BB24" s="95"/>
      <c r="BC24" s="96"/>
    </row>
    <row r="25" spans="1:55" s="30" customFormat="1" ht="141" customHeight="1" thickBot="1" x14ac:dyDescent="0.3">
      <c r="A25" s="100"/>
      <c r="B25" s="75"/>
      <c r="C25" s="75"/>
      <c r="D25" s="75"/>
      <c r="E25" s="75"/>
      <c r="F25" s="75"/>
      <c r="G25" s="84"/>
      <c r="H25" s="90"/>
      <c r="I25" s="75"/>
      <c r="J25" s="75"/>
      <c r="K25" s="75"/>
      <c r="L25" s="75"/>
      <c r="M25" s="81"/>
      <c r="N25" s="84"/>
      <c r="O25" s="81"/>
      <c r="P25" s="87"/>
      <c r="Q25" s="84"/>
      <c r="R25" s="75"/>
      <c r="S25" s="75"/>
      <c r="T25" s="78"/>
      <c r="U25" s="31">
        <v>2</v>
      </c>
      <c r="V25" s="18" t="s">
        <v>97</v>
      </c>
      <c r="W25" s="19" t="s">
        <v>167</v>
      </c>
      <c r="X25" s="19" t="s">
        <v>166</v>
      </c>
      <c r="Y25" s="22" t="str">
        <f>CONCATENATE(V25,W25,X25)</f>
        <v xml:space="preserve">Profesional Universitario(219-04)-Gestión Humana
Realizar la revisión de los requisitos y el cumplimiento de los mismos de cada aspirantecon el fin de garantizar la vinculación de personal idóneo y con la experiencia necesaria y suficiente para el desarrollo del cargo. </v>
      </c>
      <c r="Z25" s="19" t="s">
        <v>169</v>
      </c>
      <c r="AA25" s="32" t="s">
        <v>77</v>
      </c>
      <c r="AB25" s="33">
        <f t="shared" ref="AB25:AB26" si="17">+IF(AA25="","",IF(AA25="Preventivo",0.25,IF(AA25="Detectivo",0.15,IF(AA25="Correctivo",0.1,))))</f>
        <v>0.25</v>
      </c>
      <c r="AC25" s="32" t="s">
        <v>66</v>
      </c>
      <c r="AD25" s="33">
        <f t="shared" ref="AD25:AD26" si="18">+IF(AC25="","",IF(AC25="Automático",0.25,IF(AC25="Manual",0.15)))</f>
        <v>0.15</v>
      </c>
      <c r="AE25" s="32" t="s">
        <v>67</v>
      </c>
      <c r="AF25" s="33">
        <f t="shared" ref="AF25:AF26" si="19">+IF(AE25="","",IF(AE25="Documentado",0.5,IF(AE25="Sin documentar",0)))</f>
        <v>0.5</v>
      </c>
      <c r="AG25" s="32" t="s">
        <v>68</v>
      </c>
      <c r="AH25" s="33">
        <f t="shared" ref="AH25:AH26" si="20">+IF(AG25="","",IF(AG25="Continua",0.1,IF(AG25="Aleatoria",0.05)))</f>
        <v>0.1</v>
      </c>
      <c r="AI25" s="32" t="s">
        <v>69</v>
      </c>
      <c r="AJ25" s="34">
        <f t="shared" ref="AJ25:AJ26" si="21">+IF(AI25="","",IF(AI25="Con registro",0.05,IF(AI25="Sin registro",0)))</f>
        <v>0.05</v>
      </c>
      <c r="AK25" s="34">
        <f>+IF(AK24="","",AK24-(SUM(AB25,AD25,AF25,AH25,AJ25)*AK24))</f>
        <v>1.0000000000000009E-3</v>
      </c>
      <c r="AL25" s="81"/>
      <c r="AM25" s="84"/>
      <c r="AN25" s="35">
        <f>+IF(AND(AA24="Correctivo",AA25="Correctivo",AA26="Correctivo"),AN24-(0.3*AN24),IF(AND(AA24="Correctivo",OR(AA25="Correctivo",AA26="Correctivo")),AN24-(0.2*AN24),IF(AND(AA25="Correctivo",OR(AA24="Correctivo",AA26="Correctivo")),AN24-(0.2*AN24),IF(AND(AA26="Correctivo",OR(AA25="Correctivo",AA24="Correctivo")),AN24-(0.2*AN24),IF(OR(AA24="Correctivo",AA25="Correctivo",AA26="Correctivo"),AN24-(0.1*AN24),AN24)))))</f>
        <v>0.6</v>
      </c>
      <c r="AO25" s="81"/>
      <c r="AP25" s="87"/>
      <c r="AQ25" s="84"/>
      <c r="AR25" s="90"/>
      <c r="AS25" s="93"/>
      <c r="AT25" s="36">
        <v>2</v>
      </c>
      <c r="AU25" s="19" t="s">
        <v>172</v>
      </c>
      <c r="AV25" s="19" t="s">
        <v>87</v>
      </c>
      <c r="AW25" s="49" t="s">
        <v>210</v>
      </c>
      <c r="AX25" s="18" t="s">
        <v>89</v>
      </c>
      <c r="AY25" s="20" t="s">
        <v>162</v>
      </c>
      <c r="AZ25" s="19" t="s">
        <v>122</v>
      </c>
      <c r="BA25" s="75"/>
      <c r="BB25" s="75"/>
      <c r="BC25" s="97"/>
    </row>
    <row r="26" spans="1:55" s="30" customFormat="1" ht="136.5" customHeight="1" thickBot="1" x14ac:dyDescent="0.3">
      <c r="A26" s="101"/>
      <c r="B26" s="76"/>
      <c r="C26" s="76"/>
      <c r="D26" s="76"/>
      <c r="E26" s="76"/>
      <c r="F26" s="76"/>
      <c r="G26" s="85"/>
      <c r="H26" s="91"/>
      <c r="I26" s="76"/>
      <c r="J26" s="76"/>
      <c r="K26" s="76"/>
      <c r="L26" s="76"/>
      <c r="M26" s="82"/>
      <c r="N26" s="85"/>
      <c r="O26" s="82"/>
      <c r="P26" s="88"/>
      <c r="Q26" s="85"/>
      <c r="R26" s="76"/>
      <c r="S26" s="76"/>
      <c r="T26" s="79"/>
      <c r="U26" s="37">
        <v>3</v>
      </c>
      <c r="V26" s="18" t="s">
        <v>97</v>
      </c>
      <c r="W26" s="20" t="s">
        <v>250</v>
      </c>
      <c r="X26" s="72" t="s">
        <v>166</v>
      </c>
      <c r="Y26" s="22" t="s">
        <v>251</v>
      </c>
      <c r="Z26" s="20" t="s">
        <v>252</v>
      </c>
      <c r="AA26" s="38"/>
      <c r="AB26" s="39" t="str">
        <f t="shared" si="17"/>
        <v/>
      </c>
      <c r="AC26" s="38"/>
      <c r="AD26" s="39" t="str">
        <f t="shared" si="18"/>
        <v/>
      </c>
      <c r="AE26" s="38"/>
      <c r="AF26" s="39" t="str">
        <f t="shared" si="19"/>
        <v/>
      </c>
      <c r="AG26" s="38"/>
      <c r="AH26" s="39" t="str">
        <f t="shared" si="20"/>
        <v/>
      </c>
      <c r="AI26" s="38"/>
      <c r="AJ26" s="40" t="str">
        <f t="shared" si="21"/>
        <v/>
      </c>
      <c r="AK26" s="40">
        <f>+IF(AK25="","",AK25-(SUM(AB26,AD26,AF26,AH26,AJ26)*AK25))</f>
        <v>1.0000000000000009E-3</v>
      </c>
      <c r="AL26" s="82"/>
      <c r="AM26" s="85"/>
      <c r="AN26" s="41">
        <f>+IF(R24="Evitar",#REF!-(#REF!*0.1),MIN(AN25:AN25))</f>
        <v>0.6</v>
      </c>
      <c r="AO26" s="82"/>
      <c r="AP26" s="88"/>
      <c r="AQ26" s="85"/>
      <c r="AR26" s="91"/>
      <c r="AS26" s="94"/>
      <c r="AT26" s="42">
        <v>3</v>
      </c>
      <c r="AU26" s="20" t="s">
        <v>249</v>
      </c>
      <c r="AV26" s="20" t="s">
        <v>245</v>
      </c>
      <c r="AW26" s="49" t="s">
        <v>246</v>
      </c>
      <c r="AX26" s="20" t="s">
        <v>247</v>
      </c>
      <c r="AY26" s="73" t="s">
        <v>162</v>
      </c>
      <c r="AZ26" s="20"/>
      <c r="BA26" s="76"/>
      <c r="BB26" s="76"/>
      <c r="BC26" s="98"/>
    </row>
    <row r="27" spans="1:55" s="30" customFormat="1" ht="129.75" customHeight="1" thickBot="1" x14ac:dyDescent="0.3">
      <c r="A27" s="99" t="s">
        <v>105</v>
      </c>
      <c r="B27" s="74" t="s">
        <v>178</v>
      </c>
      <c r="C27" s="74" t="s">
        <v>76</v>
      </c>
      <c r="D27" s="74" t="s">
        <v>65</v>
      </c>
      <c r="E27" s="74" t="s">
        <v>177</v>
      </c>
      <c r="F27" s="74" t="s">
        <v>179</v>
      </c>
      <c r="G27" s="83" t="str">
        <f>+IF(OR(D27&lt;&gt;"",E27&lt;&gt;"",F27&lt;&gt;""),CONCATENATE("Posibilidad de ",D27," por ",E27," debido a ",F27),"")</f>
        <v xml:space="preserve">Posibilidad de afectación económica y reputacional por sanciones, demandas, o pérdida de aseguramiento del personal operativo  debido a  diligenciamiento inadecuado del formato ATS, permiso de trabajo rutinario y/o no rutinario </v>
      </c>
      <c r="H27" s="89" t="s">
        <v>180</v>
      </c>
      <c r="I27" s="74" t="s">
        <v>175</v>
      </c>
      <c r="J27" s="74" t="s">
        <v>181</v>
      </c>
      <c r="K27" s="74" t="s">
        <v>95</v>
      </c>
      <c r="L27" s="74" t="s">
        <v>80</v>
      </c>
      <c r="M27" s="80">
        <f>+IF(K27="Máximo 2 veces",0.2,IF(K27="Entre 3 a 24 veces",0.4,IF(K27="Entre 24 a 500 veces",0.6,IF(K27="Entre 500 a 5000 veces",0.8,IF(K27="Mas de 5000 veces",1,"")))))</f>
        <v>0.8</v>
      </c>
      <c r="N27" s="83" t="str">
        <f>+IF(M27="","",IF(M27&gt;0.8,"Muy Alta",IF(AND(M27&lt;=0.8,M27&gt;0.6),"Alta",IF(AND(M27&lt;=0.6,M27&gt;0.4),"Media",IF(AND(M27&lt;=0.4,M27&gt;0.2),"Baja","Muy Baja")))))</f>
        <v>Alta</v>
      </c>
      <c r="O27" s="80">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86"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83"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74" t="s">
        <v>70</v>
      </c>
      <c r="S27" s="74" t="s">
        <v>75</v>
      </c>
      <c r="T27" s="77"/>
      <c r="U27" s="24">
        <v>1</v>
      </c>
      <c r="V27" s="18" t="s">
        <v>97</v>
      </c>
      <c r="W27" s="18" t="s">
        <v>182</v>
      </c>
      <c r="X27" s="18"/>
      <c r="Y27" s="22" t="str">
        <f t="shared" ref="Y27:Y29" si="22">CONCATENATE(V27,W27,X27)</f>
        <v>Profesional Universitario(219-04)-Gestión Humana
* Capacitaciones en el diligenciamiento de los formatos de ATS y permisos de trabajo rutinario y no rutinario</v>
      </c>
      <c r="Z27" s="18" t="s">
        <v>187</v>
      </c>
      <c r="AA27" s="25" t="s">
        <v>77</v>
      </c>
      <c r="AB27" s="26">
        <f>+IF(AA27="","",IF(AA27="Preventivo",0.25,IF(AA27="Detectivo",0.15,IF(AA27="Correctivo",0.1,))))</f>
        <v>0.25</v>
      </c>
      <c r="AC27" s="25" t="s">
        <v>66</v>
      </c>
      <c r="AD27" s="26">
        <f>+IF(AC27="","",IF(AC27="Automático",0.25,IF(AC27="Manual",0.15)))</f>
        <v>0.15</v>
      </c>
      <c r="AE27" s="25" t="s">
        <v>67</v>
      </c>
      <c r="AF27" s="26">
        <f>+IF(AE27="","",IF(AE27="Documentado",0.5,IF(AE27="Sin documentar",0)))</f>
        <v>0.5</v>
      </c>
      <c r="AG27" s="25" t="s">
        <v>68</v>
      </c>
      <c r="AH27" s="26">
        <f>+IF(AG27="","",IF(AG27="Continua",0.1,IF(AG27="Aleatoria",0.05)))</f>
        <v>0.1</v>
      </c>
      <c r="AI27" s="25" t="s">
        <v>69</v>
      </c>
      <c r="AJ27" s="27">
        <f>+IF(AI27="","",IF(AI27="Con registro",0.05,IF(AI27="Sin registro",0)))</f>
        <v>0.05</v>
      </c>
      <c r="AK27" s="27">
        <f>+IF(M27="","",M27-(SUM(AB27,AD27,AF27,AH27,AJ27)*M27))</f>
        <v>-4.0000000000000036E-2</v>
      </c>
      <c r="AL27" s="80">
        <f>+IF(M27="","",MIN(AK27:AK29))</f>
        <v>-4.0000000000000036E-2</v>
      </c>
      <c r="AM27" s="83" t="str">
        <f>+IF(AL27="","",IF(AL27&gt;0.8,"Muy Alta",IF(AND(AL27&lt;=0.8,AL27&gt;0.6),"Alta",IF(AND(AL27&lt;=0.6,AL27&gt;0.4),"Media",IF(AND(AL27&lt;=0.4,AL27&gt;0.2),"Baja","Muy Baja")))))</f>
        <v>Muy Baja</v>
      </c>
      <c r="AN27" s="28">
        <f>+IF(OR(S27="",S27="No"),O27,O27-(O27*T27))</f>
        <v>0.8</v>
      </c>
      <c r="AO27" s="80">
        <f>+IF(L27="","",MIN(AN28:AN29))</f>
        <v>0.64</v>
      </c>
      <c r="AP27" s="86" t="str">
        <f>+IF(AO27="","",IF(AO27&gt;0.8,"Catastrófico",IF(AND(AO27&lt;=0.8,AO27&gt;0.6),"Mayor",IF(AND(AO27&lt;=0.6,AO27&gt;0.4),"Moderado",IF(AND(AO27&lt;=0.4,AO27&gt;0.2),"Menor","Leve")))))</f>
        <v>Mayor</v>
      </c>
      <c r="AQ27" s="83" t="str">
        <f t="shared" ref="AQ27" si="23">+IF(OR(AL27="",AO27=""),"",IF(AND(AP27="Catastrófico",AM27&lt;&gt;""),"Extremo",IF(AND(AP27="Mayor",AM27&lt;&gt;""),"Alto",IF(AND(AM27="Muy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Alto</v>
      </c>
      <c r="AR27" s="89" t="s">
        <v>189</v>
      </c>
      <c r="AS27" s="92">
        <v>30</v>
      </c>
      <c r="AT27" s="29">
        <v>1</v>
      </c>
      <c r="AU27" s="18" t="s">
        <v>190</v>
      </c>
      <c r="AV27" s="19" t="s">
        <v>87</v>
      </c>
      <c r="AW27" s="49" t="s">
        <v>210</v>
      </c>
      <c r="AX27" s="18" t="s">
        <v>88</v>
      </c>
      <c r="AY27" s="20" t="s">
        <v>195</v>
      </c>
      <c r="AZ27" s="18" t="s">
        <v>213</v>
      </c>
      <c r="BA27" s="74"/>
      <c r="BB27" s="95"/>
      <c r="BC27" s="96"/>
    </row>
    <row r="28" spans="1:55" s="30" customFormat="1" ht="127.5" customHeight="1" thickBot="1" x14ac:dyDescent="0.3">
      <c r="A28" s="100"/>
      <c r="B28" s="75"/>
      <c r="C28" s="75"/>
      <c r="D28" s="75"/>
      <c r="E28" s="75"/>
      <c r="F28" s="75"/>
      <c r="G28" s="84"/>
      <c r="H28" s="90"/>
      <c r="I28" s="75"/>
      <c r="J28" s="75"/>
      <c r="K28" s="75"/>
      <c r="L28" s="75"/>
      <c r="M28" s="81"/>
      <c r="N28" s="84"/>
      <c r="O28" s="81"/>
      <c r="P28" s="87"/>
      <c r="Q28" s="84"/>
      <c r="R28" s="75"/>
      <c r="S28" s="75"/>
      <c r="T28" s="78"/>
      <c r="U28" s="31">
        <v>2</v>
      </c>
      <c r="V28" s="18" t="s">
        <v>97</v>
      </c>
      <c r="W28" s="19" t="s">
        <v>183</v>
      </c>
      <c r="X28" s="19"/>
      <c r="Y28" s="22" t="str">
        <f t="shared" si="22"/>
        <v xml:space="preserve">Profesional Universitario(219-04)-Gestión Humana
Requerir al funcionario supervisor competente y jefe de área para el debido seguimiento y vigilancia sobre el diligenciamiento de los formatos, por parte del personal operativo </v>
      </c>
      <c r="Z28" s="19" t="s">
        <v>188</v>
      </c>
      <c r="AA28" s="32" t="s">
        <v>176</v>
      </c>
      <c r="AB28" s="33">
        <f t="shared" ref="AB28:AB29" si="24">+IF(AA28="","",IF(AA28="Preventivo",0.25,IF(AA28="Detectivo",0.15,IF(AA28="Correctivo",0.1,))))</f>
        <v>0.1</v>
      </c>
      <c r="AC28" s="32" t="s">
        <v>66</v>
      </c>
      <c r="AD28" s="33">
        <f t="shared" ref="AD28:AD29" si="25">+IF(AC28="","",IF(AC28="Automático",0.25,IF(AC28="Manual",0.15)))</f>
        <v>0.15</v>
      </c>
      <c r="AE28" s="32" t="s">
        <v>67</v>
      </c>
      <c r="AF28" s="33">
        <f t="shared" ref="AF28:AF29" si="26">+IF(AE28="","",IF(AE28="Documentado",0.5,IF(AE28="Sin documentar",0)))</f>
        <v>0.5</v>
      </c>
      <c r="AG28" s="32" t="s">
        <v>68</v>
      </c>
      <c r="AH28" s="33">
        <f t="shared" ref="AH28:AH29" si="27">+IF(AG28="","",IF(AG28="Continua",0.1,IF(AG28="Aleatoria",0.05)))</f>
        <v>0.1</v>
      </c>
      <c r="AI28" s="32" t="s">
        <v>69</v>
      </c>
      <c r="AJ28" s="34">
        <f t="shared" ref="AJ28:AJ29" si="28">+IF(AI28="","",IF(AI28="Con registro",0.05,IF(AI28="Sin registro",0)))</f>
        <v>0.05</v>
      </c>
      <c r="AK28" s="34">
        <f>+IF(AK27="","",AK27-(SUM(AB28,AD28,AF28,AH28,AJ28)*AK27))</f>
        <v>-4.0000000000000036E-3</v>
      </c>
      <c r="AL28" s="81"/>
      <c r="AM28" s="84"/>
      <c r="AN28" s="35">
        <f>+IF(AND(AA27="Correctivo",AA28="Correctivo",AA29="Correctivo"),AN27-(0.3*AN27),IF(AND(AA27="Correctivo",OR(AA28="Correctivo",AA29="Correctivo")),AN27-(0.2*AN27),IF(AND(AA28="Correctivo",OR(AA27="Correctivo",AA29="Correctivo")),AN27-(0.2*AN27),IF(AND(AA29="Correctivo",OR(AA28="Correctivo",AA27="Correctivo")),AN27-(0.2*AN27),IF(OR(AA27="Correctivo",AA28="Correctivo",AA29="Correctivo"),AN27-(0.1*AN27),AN27)))))</f>
        <v>0.64</v>
      </c>
      <c r="AO28" s="81"/>
      <c r="AP28" s="87"/>
      <c r="AQ28" s="84"/>
      <c r="AR28" s="90"/>
      <c r="AS28" s="93"/>
      <c r="AT28" s="36">
        <v>2</v>
      </c>
      <c r="AU28" s="19" t="s">
        <v>214</v>
      </c>
      <c r="AV28" s="19" t="s">
        <v>191</v>
      </c>
      <c r="AW28" s="49" t="s">
        <v>210</v>
      </c>
      <c r="AX28" s="18" t="s">
        <v>192</v>
      </c>
      <c r="AY28" s="20" t="s">
        <v>194</v>
      </c>
      <c r="AZ28" s="19" t="s">
        <v>122</v>
      </c>
      <c r="BA28" s="75"/>
      <c r="BB28" s="75"/>
      <c r="BC28" s="97"/>
    </row>
    <row r="29" spans="1:55" s="30" customFormat="1" ht="126.6" customHeight="1" thickBot="1" x14ac:dyDescent="0.3">
      <c r="A29" s="101"/>
      <c r="B29" s="76"/>
      <c r="C29" s="76"/>
      <c r="D29" s="76"/>
      <c r="E29" s="76"/>
      <c r="F29" s="76"/>
      <c r="G29" s="85"/>
      <c r="H29" s="91"/>
      <c r="I29" s="76"/>
      <c r="J29" s="76"/>
      <c r="K29" s="76"/>
      <c r="L29" s="76"/>
      <c r="M29" s="82"/>
      <c r="N29" s="85"/>
      <c r="O29" s="82"/>
      <c r="P29" s="88"/>
      <c r="Q29" s="85"/>
      <c r="R29" s="76"/>
      <c r="S29" s="76"/>
      <c r="T29" s="79"/>
      <c r="U29" s="37">
        <v>3</v>
      </c>
      <c r="V29" s="18" t="s">
        <v>97</v>
      </c>
      <c r="W29" s="20" t="s">
        <v>184</v>
      </c>
      <c r="X29" s="20" t="s">
        <v>185</v>
      </c>
      <c r="Y29" s="22" t="str">
        <f t="shared" si="22"/>
        <v xml:space="preserve">Profesional Universitario(219-04)-Gestión Humana
Solicitar a la oficina de control único disciplinario el reporte de la novedades presentadas frente al inadecuado diligenciamiento de los formatos para el trabajo en alturas, por parte del personal operativoremitiendo las evidencias del seguimiento y capacitación realizado por parte del área de SST </v>
      </c>
      <c r="Z29" s="20" t="s">
        <v>186</v>
      </c>
      <c r="AA29" s="38" t="s">
        <v>176</v>
      </c>
      <c r="AB29" s="39">
        <f t="shared" si="24"/>
        <v>0.1</v>
      </c>
      <c r="AC29" s="38" t="s">
        <v>66</v>
      </c>
      <c r="AD29" s="39">
        <f t="shared" si="25"/>
        <v>0.15</v>
      </c>
      <c r="AE29" s="38" t="s">
        <v>67</v>
      </c>
      <c r="AF29" s="39">
        <f t="shared" si="26"/>
        <v>0.5</v>
      </c>
      <c r="AG29" s="38" t="s">
        <v>68</v>
      </c>
      <c r="AH29" s="39">
        <f t="shared" si="27"/>
        <v>0.1</v>
      </c>
      <c r="AI29" s="38" t="s">
        <v>69</v>
      </c>
      <c r="AJ29" s="40">
        <f t="shared" si="28"/>
        <v>0.05</v>
      </c>
      <c r="AK29" s="40">
        <f>+IF(AK28="","",AK28-(SUM(AB29,AD29,AF29,AH29,AJ29)*AK28))</f>
        <v>-4.0000000000000018E-4</v>
      </c>
      <c r="AL29" s="82"/>
      <c r="AM29" s="85"/>
      <c r="AN29" s="41">
        <f>+IF(R27="Evitar",#REF!-(#REF!*0.1),MIN(AN28:AN28))</f>
        <v>0.64</v>
      </c>
      <c r="AO29" s="82"/>
      <c r="AP29" s="88"/>
      <c r="AQ29" s="85"/>
      <c r="AR29" s="91"/>
      <c r="AS29" s="94"/>
      <c r="AT29" s="42">
        <v>3</v>
      </c>
      <c r="AU29" s="20" t="s">
        <v>215</v>
      </c>
      <c r="AV29" s="19" t="s">
        <v>191</v>
      </c>
      <c r="AW29" s="49" t="s">
        <v>210</v>
      </c>
      <c r="AX29" s="20" t="s">
        <v>193</v>
      </c>
      <c r="AY29" s="20" t="s">
        <v>194</v>
      </c>
      <c r="AZ29" s="20"/>
      <c r="BA29" s="76"/>
      <c r="BB29" s="76"/>
      <c r="BC29" s="98"/>
    </row>
    <row r="30" spans="1:55" s="30" customFormat="1" ht="143.25" thickBot="1" x14ac:dyDescent="0.3">
      <c r="A30" s="99" t="s">
        <v>106</v>
      </c>
      <c r="B30" s="74" t="s">
        <v>196</v>
      </c>
      <c r="C30" s="74" t="s">
        <v>197</v>
      </c>
      <c r="D30" s="96" t="s">
        <v>65</v>
      </c>
      <c r="E30" s="146" t="s">
        <v>198</v>
      </c>
      <c r="F30" s="149" t="s">
        <v>218</v>
      </c>
      <c r="G30" s="83" t="str">
        <f t="shared" ref="G30" si="29">+IF(OR(D30&lt;&gt;"",E30&lt;&gt;"",F30&lt;&gt;""),CONCATENATE("Posibilidad de ",D30," por ",E30," debido a ",F30),"")</f>
        <v>Posibilidad de afectación económica y reputacional por responsabilidad civil, penal o disciplinaria, accidentes, conductas inapropiadas debido a posible hallazgo en el analisis medico toxicologico de los funcionarios que alteran la conducta y/o alteración del orden.</v>
      </c>
      <c r="H30" s="89" t="s">
        <v>199</v>
      </c>
      <c r="I30" s="74" t="s">
        <v>175</v>
      </c>
      <c r="J30" s="74" t="s">
        <v>73</v>
      </c>
      <c r="K30" s="74" t="s">
        <v>79</v>
      </c>
      <c r="L30" s="74" t="s">
        <v>80</v>
      </c>
      <c r="M30" s="80">
        <f>+IF(K30="Máximo 2 veces",0.2,IF(K30="Entre 3 a 24 veces",0.4,IF(K30="Entre 24 a 500 veces",0.6,IF(K30="Entre 500 a 5000 veces",0.8,IF(K30="Mas de 5000 veces",1,"")))))</f>
        <v>0.6</v>
      </c>
      <c r="N30" s="83" t="str">
        <f>+IF(M30="","",IF(M30&gt;0.8,"Muy Alta",IF(AND(M30&lt;=0.8,M30&gt;0.6),"Alta",IF(AND(M30&lt;=0.6,M30&gt;0.4),"Media",IF(AND(M30&lt;=0.4,M30&gt;0.2),"Baja","Muy Baja")))))</f>
        <v>Media</v>
      </c>
      <c r="O30" s="80">
        <f>+IF(L30="Menor a 10 SMLMV o afectación a un área/proceso",0.2,IF(L30="Entre 10 y 50 SMLMV o afectación interna",0.4,IF(L30="Entre 50 y 100 SMLMV o afectación con algunos usuarios",0.6,IF(L30="Entre 100 y 500 SMLMV o fectación a nivel municipal/departamental",0.8,IF(L30="Mayor a 500 SMLMV o afectación nacional",1,"")))))</f>
        <v>0.8</v>
      </c>
      <c r="P30" s="86" t="str">
        <f>+IF(L30="Menor a 10 SMLMV o afectación a un área/proceso","Leve",IF(L30="Entre 10 y 50 SMLMV o afectación interna","Menor",IF(L30="Entre 50 y 100 SMLMV o afectación con algunos usuarios","Moderado",IF(L30="Entre 100 y 500 SMLMV o fectación a nivel municipal/departamental","Mayor",IF(L30="Mayor a 500 SMLMV o afectación nacional","Catastrófico","")))))</f>
        <v>Mayor</v>
      </c>
      <c r="Q30" s="83" t="str">
        <f>+IF(OR(K30="",L30=""),"",IF(AND(P30="Catastrófico",N30&lt;&gt;""),"Extremo",IF(AND(P30="Mayor",N30&lt;&gt;""),"Alto",IF(AND(N30="Muy Alta",O30&gt;0.1,O30&lt;0.7),"Alto",IF(AND(N30="Alta",P30="Moderado"),"Alto",IF(O30*M30&lt;0.1,"Bajo",IF(AND(N30="Alta",O30&lt;0.5),"Moderado",IF(AND(N30="Media",O30&lt;0.7),"Moderado",IF(AND(N30="Baja",OR(P30="Moderado",P30="Menor")),"Moderado",IF(AND(N30="Muy Baja",P30="Moderado"),"Moderado",))))))))))</f>
        <v>Alto</v>
      </c>
      <c r="R30" s="74" t="s">
        <v>70</v>
      </c>
      <c r="S30" s="74" t="s">
        <v>75</v>
      </c>
      <c r="T30" s="77"/>
      <c r="U30" s="24">
        <v>1</v>
      </c>
      <c r="V30" s="51" t="s">
        <v>258</v>
      </c>
      <c r="W30" s="51" t="s">
        <v>201</v>
      </c>
      <c r="X30" s="51" t="s">
        <v>200</v>
      </c>
      <c r="Y30" s="57" t="str">
        <f>CONCATENATE(V30,W30,X30)</f>
        <v>Profesional Universitario(219-01)-SST y 219-02Gestión Humana
 Protocolos de seguridad y comportamiento en eventos:Implementar y comunicar un protocolo claro que regule la seguridad, el consumo de sustancias y el comportamiento en eventos institucionales. Este protocolo debe incluir restricciones al consumo de licor, procedimientos para manejar alteraciones del orden y normas de conducta esperadas.</v>
      </c>
      <c r="Z30" s="51" t="s">
        <v>259</v>
      </c>
      <c r="AA30" s="25" t="s">
        <v>77</v>
      </c>
      <c r="AB30" s="26">
        <f>+IF(AA30="","",IF(AA30="Preventivo",0.25,IF(AA30="Detectivo",0.15,IF(AA30="Correctivo",0.1,))))</f>
        <v>0.25</v>
      </c>
      <c r="AC30" s="25" t="s">
        <v>66</v>
      </c>
      <c r="AD30" s="26">
        <f>+IF(AC30="","",IF(AC30="Automático",0.25,IF(AC30="Manual",0.15)))</f>
        <v>0.15</v>
      </c>
      <c r="AE30" s="25" t="s">
        <v>67</v>
      </c>
      <c r="AF30" s="26">
        <f>+IF(AE30="","",IF(AE30="Documentado",0.5,IF(AE30="Sin documentar",0)))</f>
        <v>0.5</v>
      </c>
      <c r="AG30" s="25" t="s">
        <v>68</v>
      </c>
      <c r="AH30" s="26">
        <f>+IF(AG30="","",IF(AG30="Continua",0.1,IF(AG30="Aleatoria",0.05)))</f>
        <v>0.1</v>
      </c>
      <c r="AI30" s="25" t="s">
        <v>69</v>
      </c>
      <c r="AJ30" s="27">
        <f>+IF(AI30="","",IF(AI30="Con registro",0.05,IF(AI30="Sin registro",0)))</f>
        <v>0.05</v>
      </c>
      <c r="AK30" s="27">
        <f>+IF(M30="","",M30-(SUM(AB30,AD30,AF30,AH30,AJ30)*M30))</f>
        <v>-3.0000000000000027E-2</v>
      </c>
      <c r="AL30" s="80">
        <f>+IF(M30="","",MIN(AK30:AK32))</f>
        <v>-3.0000000000000027E-2</v>
      </c>
      <c r="AM30" s="83" t="str">
        <f>+IF(AL30="","",IF(AL30&gt;0.8,"Muy Alta",IF(AND(AL30&lt;=0.8,AL30&gt;0.6),"Alta",IF(AND(AL30&lt;=0.6,AL30&gt;0.4),"Media",IF(AND(AL30&lt;=0.4,AL30&gt;0.2),"Baja","Muy Baja")))))</f>
        <v>Muy Baja</v>
      </c>
      <c r="AN30" s="54">
        <f>+IF(OR(S30="",S30="No"),O30,O30-(O30*T30))</f>
        <v>0.8</v>
      </c>
      <c r="AO30" s="80">
        <f>+IF(L30="","",MIN(AN31:AN32))</f>
        <v>0.8</v>
      </c>
      <c r="AP30" s="86" t="str">
        <f>+IF(AO30="","",IF(AO30&gt;0.8,"Catastrófico",IF(AND(AO30&lt;=0.8,AO30&gt;0.6),"Mayor",IF(AND(AO30&lt;=0.6,AO30&gt;0.4),"Moderado",IF(AND(AO30&lt;=0.4,AO30&gt;0.2),"Menor","Leve")))))</f>
        <v>Mayor</v>
      </c>
      <c r="AQ30" s="83" t="str">
        <f t="shared" ref="AQ30" si="30">+IF(OR(AL30="",AO30=""),"",IF(AND(AP30="Catastrófico",AM30&lt;&gt;""),"Extremo",IF(AND(AP30="Mayor",AM30&lt;&gt;""),"Alto",IF(AND(AM30="Muy Alta",AO30&gt;0.1,AO30&lt;0.7),"Alto",IF(AND(AM30="Alta",AP30="Moderado"),"Alto",IF(AO30*AL30&lt;0.1,"Bajo",IF(AND(AM30="Alta",AO30&lt;0.5),"Moderado",IF(AND(AM30="Media",AO30&lt;0.7),"Moderado",IF(AND(AM30="Baja",OR(AP30="Moderado",AP30="Menor")),"Moderado",IF(AND(AM30="Muy Baja",AP30="Moderado"),"Moderado",))))))))))</f>
        <v>Alto</v>
      </c>
      <c r="AR30" s="89" t="s">
        <v>205</v>
      </c>
      <c r="AS30" s="136">
        <v>0.2</v>
      </c>
      <c r="AT30" s="29">
        <v>1</v>
      </c>
      <c r="AU30" s="51" t="s">
        <v>212</v>
      </c>
      <c r="AV30" s="52" t="s">
        <v>87</v>
      </c>
      <c r="AW30" s="49" t="s">
        <v>210</v>
      </c>
      <c r="AX30" s="51" t="s">
        <v>211</v>
      </c>
      <c r="AY30" s="53" t="s">
        <v>194</v>
      </c>
      <c r="AZ30" s="51" t="s">
        <v>124</v>
      </c>
      <c r="BA30" s="74"/>
      <c r="BB30" s="95"/>
      <c r="BC30" s="96"/>
    </row>
    <row r="31" spans="1:55" s="30" customFormat="1" ht="127.5" customHeight="1" thickBot="1" x14ac:dyDescent="0.3">
      <c r="A31" s="100"/>
      <c r="B31" s="75"/>
      <c r="C31" s="75"/>
      <c r="D31" s="97"/>
      <c r="E31" s="147"/>
      <c r="F31" s="150"/>
      <c r="G31" s="84"/>
      <c r="H31" s="90"/>
      <c r="I31" s="75"/>
      <c r="J31" s="75"/>
      <c r="K31" s="75"/>
      <c r="L31" s="75"/>
      <c r="M31" s="81"/>
      <c r="N31" s="84"/>
      <c r="O31" s="81"/>
      <c r="P31" s="87"/>
      <c r="Q31" s="84"/>
      <c r="R31" s="75"/>
      <c r="S31" s="75"/>
      <c r="T31" s="78"/>
      <c r="U31" s="31">
        <v>2</v>
      </c>
      <c r="V31" s="51" t="s">
        <v>97</v>
      </c>
      <c r="W31" s="52" t="s">
        <v>202</v>
      </c>
      <c r="X31" s="52" t="s">
        <v>203</v>
      </c>
      <c r="Y31" s="57" t="str">
        <f t="shared" ref="Y31" si="31">CONCATENATE(V31,W31,X31)</f>
        <v>Profesional Universitario(219-04)-Gestión Humana
Control de acceso y seguridad externa:Implementar un sistema de control de acceso que garantice la entrada únicamente de personas autorizadas y contratar personal de seguridad capacitado para prevenir alteraciones del orden.</v>
      </c>
      <c r="Z31" s="52" t="s">
        <v>204</v>
      </c>
      <c r="AA31" s="32" t="s">
        <v>77</v>
      </c>
      <c r="AB31" s="33">
        <f t="shared" ref="AB31:AB32" si="32">+IF(AA31="","",IF(AA31="Preventivo",0.25,IF(AA31="Detectivo",0.15,IF(AA31="Correctivo",0.1,))))</f>
        <v>0.25</v>
      </c>
      <c r="AC31" s="32" t="s">
        <v>66</v>
      </c>
      <c r="AD31" s="33">
        <f t="shared" ref="AD31:AD32" si="33">+IF(AC31="","",IF(AC31="Automático",0.25,IF(AC31="Manual",0.15)))</f>
        <v>0.15</v>
      </c>
      <c r="AE31" s="32" t="s">
        <v>67</v>
      </c>
      <c r="AF31" s="33">
        <f t="shared" ref="AF31:AF32" si="34">+IF(AE31="","",IF(AE31="Documentado",0.5,IF(AE31="Sin documentar",0)))</f>
        <v>0.5</v>
      </c>
      <c r="AG31" s="32" t="s">
        <v>68</v>
      </c>
      <c r="AH31" s="33">
        <f t="shared" ref="AH31:AH32" si="35">+IF(AG31="","",IF(AG31="Continua",0.1,IF(AG31="Aleatoria",0.05)))</f>
        <v>0.1</v>
      </c>
      <c r="AI31" s="32" t="s">
        <v>69</v>
      </c>
      <c r="AJ31" s="34">
        <f t="shared" ref="AJ31:AJ32" si="36">+IF(AI31="","",IF(AI31="Con registro",0.05,IF(AI31="Sin registro",0)))</f>
        <v>0.05</v>
      </c>
      <c r="AK31" s="34">
        <f>+IF(AK30="","",AK30-(SUM(AB31,AD31,AF31,AH31,AJ31)*AK30))</f>
        <v>1.5000000000000013E-3</v>
      </c>
      <c r="AL31" s="81"/>
      <c r="AM31" s="84"/>
      <c r="AN31" s="55">
        <f>+IF(AND(AA30="Correctivo",AA31="Correctivo",AA32="Correctivo"),AN30-(0.3*AN30),IF(AND(AA30="Correctivo",OR(AA31="Correctivo",AA32="Correctivo")),AN30-(0.2*AN30),IF(AND(AA31="Correctivo",OR(AA30="Correctivo",AA32="Correctivo")),AN30-(0.2*AN30),IF(AND(AA32="Correctivo",OR(AA31="Correctivo",AA30="Correctivo")),AN30-(0.2*AN30),IF(OR(AA30="Correctivo",AA31="Correctivo",AA32="Correctivo"),AN30-(0.1*AN30),AN30)))))</f>
        <v>0.8</v>
      </c>
      <c r="AO31" s="81"/>
      <c r="AP31" s="87"/>
      <c r="AQ31" s="84"/>
      <c r="AR31" s="90"/>
      <c r="AS31" s="152"/>
      <c r="AT31" s="36">
        <v>2</v>
      </c>
      <c r="AU31" s="59" t="s">
        <v>257</v>
      </c>
      <c r="AV31" s="59" t="s">
        <v>87</v>
      </c>
      <c r="AW31" s="49" t="s">
        <v>210</v>
      </c>
      <c r="AX31" s="58" t="s">
        <v>211</v>
      </c>
      <c r="AY31" s="60" t="s">
        <v>194</v>
      </c>
      <c r="AZ31" s="52"/>
      <c r="BA31" s="75"/>
      <c r="BB31" s="75"/>
      <c r="BC31" s="97"/>
    </row>
    <row r="32" spans="1:55" s="30" customFormat="1" ht="80.099999999999994" customHeight="1" thickBot="1" x14ac:dyDescent="0.3">
      <c r="A32" s="101"/>
      <c r="B32" s="76"/>
      <c r="C32" s="76"/>
      <c r="D32" s="98"/>
      <c r="E32" s="148"/>
      <c r="F32" s="151"/>
      <c r="G32" s="85"/>
      <c r="H32" s="91"/>
      <c r="I32" s="76"/>
      <c r="J32" s="76"/>
      <c r="K32" s="76"/>
      <c r="L32" s="76"/>
      <c r="M32" s="82"/>
      <c r="N32" s="85"/>
      <c r="O32" s="82"/>
      <c r="P32" s="88"/>
      <c r="Q32" s="85"/>
      <c r="R32" s="76"/>
      <c r="S32" s="76"/>
      <c r="T32" s="79"/>
      <c r="U32" s="37">
        <v>3</v>
      </c>
      <c r="V32" s="51"/>
      <c r="W32" s="53"/>
      <c r="X32" s="53"/>
      <c r="Y32" s="57"/>
      <c r="Z32" s="53"/>
      <c r="AA32" s="38"/>
      <c r="AB32" s="39" t="str">
        <f t="shared" si="32"/>
        <v/>
      </c>
      <c r="AC32" s="38"/>
      <c r="AD32" s="39" t="str">
        <f t="shared" si="33"/>
        <v/>
      </c>
      <c r="AE32" s="38"/>
      <c r="AF32" s="39" t="str">
        <f t="shared" si="34"/>
        <v/>
      </c>
      <c r="AG32" s="38"/>
      <c r="AH32" s="39" t="str">
        <f t="shared" si="35"/>
        <v/>
      </c>
      <c r="AI32" s="38"/>
      <c r="AJ32" s="40" t="str">
        <f t="shared" si="36"/>
        <v/>
      </c>
      <c r="AK32" s="40">
        <f>+IF(AK31="","",AK31-(SUM(AB32,AD32,AF32,AH32,AJ32)*AK31))</f>
        <v>1.5000000000000013E-3</v>
      </c>
      <c r="AL32" s="82"/>
      <c r="AM32" s="85"/>
      <c r="AN32" s="56">
        <f>+IF(R30="Evitar",#REF!-(#REF!*0.1),MIN(AN31:AN31))</f>
        <v>0.8</v>
      </c>
      <c r="AO32" s="82"/>
      <c r="AP32" s="88"/>
      <c r="AQ32" s="85"/>
      <c r="AR32" s="91"/>
      <c r="AS32" s="153"/>
      <c r="AT32" s="42">
        <v>3</v>
      </c>
      <c r="AU32" s="53"/>
      <c r="AV32" s="53"/>
      <c r="AW32" s="53"/>
      <c r="AX32" s="53"/>
      <c r="AY32" s="53"/>
      <c r="AZ32" s="53"/>
      <c r="BA32" s="76"/>
      <c r="BB32" s="76"/>
      <c r="BC32" s="98"/>
    </row>
    <row r="33" spans="1:55" s="30" customFormat="1" ht="146.25" customHeight="1" thickBot="1" x14ac:dyDescent="0.3">
      <c r="A33" s="99" t="s">
        <v>219</v>
      </c>
      <c r="B33" s="74" t="s">
        <v>220</v>
      </c>
      <c r="C33" s="74" t="s">
        <v>76</v>
      </c>
      <c r="D33" s="74" t="s">
        <v>102</v>
      </c>
      <c r="E33" s="74" t="s">
        <v>221</v>
      </c>
      <c r="F33" s="74" t="s">
        <v>222</v>
      </c>
      <c r="G33" s="83" t="str">
        <f>+IF(OR(D33&lt;&gt;"",E33&lt;&gt;"",F33&lt;&gt;""),CONCATENATE("Posibilidad de ",D33," por ",E33," debido a ",F33),"")</f>
        <v xml:space="preserve">Posibilidad de efecto dañoso por  sanciones y/o  reprocesos por fallas humanas  debido a altas cargas laborales, rotación de personal, desconocimiento normativo sobre los procedimientos. </v>
      </c>
      <c r="H33" s="89" t="s">
        <v>223</v>
      </c>
      <c r="I33" s="74" t="s">
        <v>71</v>
      </c>
      <c r="J33" s="74" t="s">
        <v>73</v>
      </c>
      <c r="K33" s="74" t="s">
        <v>79</v>
      </c>
      <c r="L33" s="74" t="s">
        <v>74</v>
      </c>
      <c r="M33" s="80">
        <f>+IF(K33="Máximo 2 veces",0.2,IF(K33="Entre 3 a 24 veces",0.4,IF(K33="Entre 24 a 500 veces",0.6,IF(K33="Entre 500 a 5000 veces",0.8,IF(K33="Mas de 5000 veces",1,"")))))</f>
        <v>0.6</v>
      </c>
      <c r="N33" s="83" t="str">
        <f>+IF(M33="","",IF(M33&gt;0.8,"Muy Alta",IF(AND(M33&lt;=0.8,M33&gt;0.6),"Alta",IF(AND(M33&lt;=0.6,M33&gt;0.4),"Media",IF(AND(M33&lt;=0.4,M33&gt;0.2),"Baja","Muy Baja")))))</f>
        <v>Media</v>
      </c>
      <c r="O33" s="80">
        <f>+IF(L33="Menor a 10 SMLMV o afectación a un área/proceso",0.2,IF(L33="Entre 10 y 50 SMLMV o afectación interna",0.4,IF(L33="Entre 50 y 100 SMLMV o afectación con algunos usuarios",0.6,IF(L33="Entre 100 y 500 SMLMV o fectación a nivel municipal/departamental",0.8,IF(L33="Mayor a 500 SMLMV o afectación nacional",1,"")))))</f>
        <v>0.6</v>
      </c>
      <c r="P33" s="86" t="str">
        <f>+IF(L33="Menor a 10 SMLMV o afectación a un área/proceso","Leve",IF(L33="Entre 10 y 50 SMLMV o afectación interna","Menor",IF(L33="Entre 50 y 100 SMLMV o afectación con algunos usuarios","Moderado",IF(L33="Entre 100 y 500 SMLMV o fectación a nivel municipal/departamental","Mayor",IF(L33="Mayor a 500 SMLMV o afectación nacional","Catastrófico","")))))</f>
        <v>Moderado</v>
      </c>
      <c r="Q33" s="83" t="str">
        <f>+IF(OR(K33="",L33=""),"",IF(AND(P33="Catastrófico",N33&lt;&gt;""),"Extremo",IF(AND(P33="Mayor",N33&lt;&gt;""),"Alto",IF(AND(N33="Muy Alta",O33&gt;0.1,O33&lt;0.7),"Alto",IF(AND(N33="Alta",P33="Moderado"),"Alto",IF(O33*M33&lt;0.1,"Bajo",IF(AND(N33="Alta",O33&lt;0.5),"Moderado",IF(AND(N33="Media",O33&lt;0.7),"Moderado",IF(AND(N33="Baja",OR(P33="Moderado",P33="Menor")),"Moderado",IF(AND(N33="Muy Baja",P33="Moderado"),"Moderado",))))))))))</f>
        <v>Moderado</v>
      </c>
      <c r="R33" s="74" t="s">
        <v>70</v>
      </c>
      <c r="S33" s="74" t="s">
        <v>75</v>
      </c>
      <c r="T33" s="77"/>
      <c r="U33" s="24">
        <v>1</v>
      </c>
      <c r="V33" s="63" t="s">
        <v>97</v>
      </c>
      <c r="W33" s="63" t="s">
        <v>224</v>
      </c>
      <c r="X33" s="63" t="s">
        <v>225</v>
      </c>
      <c r="Y33" s="69" t="str">
        <f t="shared" ref="Y33" si="37">CONCATENATE(V33,W33,X33)</f>
        <v>Profesional Universitario(219-04)-Gestión Humana
Realizará procesos de inducción y reinducción del personal de planta y contratistas , promover en los funcionarios el conocimiento y revisión de las funciones contempladas en los manuales de funciones, con el fin de reforzar los conocimientos sobre las funciones de los cargos</v>
      </c>
      <c r="Z33" s="63" t="s">
        <v>226</v>
      </c>
      <c r="AA33" s="25" t="s">
        <v>77</v>
      </c>
      <c r="AB33" s="26">
        <f>+IF(AA33="","",IF(AA33="Preventivo",0.25,IF(AA33="Detectivo",0.15,IF(AA33="Correctivo",0.1,))))</f>
        <v>0.25</v>
      </c>
      <c r="AC33" s="25" t="s">
        <v>66</v>
      </c>
      <c r="AD33" s="26">
        <f>+IF(AC33="","",IF(AC33="Automático",0.25,IF(AC33="Manual",0.15)))</f>
        <v>0.15</v>
      </c>
      <c r="AE33" s="25" t="s">
        <v>67</v>
      </c>
      <c r="AF33" s="26">
        <f>+IF(AE33="","",IF(AE33="Documentado",0.5,IF(AE33="Sin documentar",0)))</f>
        <v>0.5</v>
      </c>
      <c r="AG33" s="25" t="s">
        <v>68</v>
      </c>
      <c r="AH33" s="26">
        <f>+IF(AG33="","",IF(AG33="Continua",0.1,IF(AG33="Aleatoria",0.05)))</f>
        <v>0.1</v>
      </c>
      <c r="AI33" s="25" t="s">
        <v>69</v>
      </c>
      <c r="AJ33" s="27">
        <f>+IF(AI33="","",IF(AI33="Con registro",0.05,IF(AI33="Sin registro",0)))</f>
        <v>0.05</v>
      </c>
      <c r="AK33" s="27">
        <f>+IF(M33="","",M33-(SUM(AB33,AD33,AF33,AH33,AJ33)*M33))</f>
        <v>-3.0000000000000027E-2</v>
      </c>
      <c r="AL33" s="80">
        <f>+IF(M33="","",MIN(AK33:AK35))</f>
        <v>-3.0000000000000027E-2</v>
      </c>
      <c r="AM33" s="83" t="str">
        <f>+IF(AL33="","",IF(AL33&gt;0.8,"Muy Alta",IF(AND(AL33&lt;=0.8,AL33&gt;0.6),"Alta",IF(AND(AL33&lt;=0.6,AL33&gt;0.4),"Media",IF(AND(AL33&lt;=0.4,AL33&gt;0.2),"Baja","Muy Baja")))))</f>
        <v>Muy Baja</v>
      </c>
      <c r="AN33" s="66">
        <f>+IF(OR(S33="",S33="No"),O33,O33-(O33*T33))</f>
        <v>0.6</v>
      </c>
      <c r="AO33" s="80">
        <f>+IF(L33="","",MIN(AN34:AN35))</f>
        <v>0.6</v>
      </c>
      <c r="AP33" s="86" t="str">
        <f>+IF(AO33="","",IF(AO33&gt;0.8,"Catastrófico",IF(AND(AO33&lt;=0.8,AO33&gt;0.6),"Mayor",IF(AND(AO33&lt;=0.6,AO33&gt;0.4),"Moderado",IF(AND(AO33&lt;=0.4,AO33&gt;0.2),"Menor","Leve")))))</f>
        <v>Moderado</v>
      </c>
      <c r="AQ33" s="83" t="str">
        <f t="shared" ref="AQ33" si="38">+IF(OR(AL33="",AO33=""),"",IF(AND(AP33="Catastrófico",AM33&lt;&gt;""),"Extremo",IF(AND(AP33="Mayor",AM33&lt;&gt;""),"Alto",IF(AND(AM33="Muy Alta",AO33&gt;0.1,AO33&lt;0.7),"Alto",IF(AND(AM33="Alta",AP33="Moderado"),"Alto",IF(AO33*AL33&lt;0.1,"Bajo",IF(AND(AM33="Alta",AO33&lt;0.5),"Moderado",IF(AND(AM33="Media",AO33&lt;0.7),"Moderado",IF(AND(AM33="Baja",OR(AP33="Moderado",AP33="Menor")),"Moderado",IF(AND(AM33="Muy Baja",AP33="Moderado"),"Moderado",))))))))))</f>
        <v>Bajo</v>
      </c>
      <c r="AR33" s="89" t="s">
        <v>237</v>
      </c>
      <c r="AS33" s="92">
        <v>50</v>
      </c>
      <c r="AT33" s="29">
        <v>1</v>
      </c>
      <c r="AU33" s="63" t="s">
        <v>227</v>
      </c>
      <c r="AV33" s="64" t="s">
        <v>87</v>
      </c>
      <c r="AW33" s="49" t="s">
        <v>238</v>
      </c>
      <c r="AX33" s="63" t="s">
        <v>88</v>
      </c>
      <c r="AY33" s="64" t="s">
        <v>228</v>
      </c>
      <c r="AZ33" s="63" t="s">
        <v>124</v>
      </c>
      <c r="BA33" s="74" t="s">
        <v>229</v>
      </c>
      <c r="BB33" s="95"/>
      <c r="BC33" s="154"/>
    </row>
    <row r="34" spans="1:55" s="30" customFormat="1" ht="127.5" customHeight="1" thickBot="1" x14ac:dyDescent="0.3">
      <c r="A34" s="100"/>
      <c r="B34" s="75"/>
      <c r="C34" s="75"/>
      <c r="D34" s="75"/>
      <c r="E34" s="75"/>
      <c r="F34" s="75"/>
      <c r="G34" s="84"/>
      <c r="H34" s="90"/>
      <c r="I34" s="75"/>
      <c r="J34" s="75"/>
      <c r="K34" s="75"/>
      <c r="L34" s="75"/>
      <c r="M34" s="81"/>
      <c r="N34" s="84"/>
      <c r="O34" s="81"/>
      <c r="P34" s="87"/>
      <c r="Q34" s="84"/>
      <c r="R34" s="75"/>
      <c r="S34" s="75"/>
      <c r="T34" s="78"/>
      <c r="U34" s="31">
        <v>2</v>
      </c>
      <c r="V34" s="63" t="s">
        <v>97</v>
      </c>
      <c r="W34" s="64" t="s">
        <v>254</v>
      </c>
      <c r="X34" s="64" t="s">
        <v>230</v>
      </c>
      <c r="Y34" s="70" t="str">
        <f>CONCATENATE(V34,W34,X34)</f>
        <v>Profesional Universitario(219-04)-Gestión Humana
se implementara un nuevo formato de Induccion donde halla integralidad en lo que respecta a Gestion Humana, Seguridad y Salud en el Trabajo, Ambiental, Calidad y MIPGcon el fin de actualizar los conocimientos y procedimientos implementados por los funcionarios en cada una de las funciones de los cargos</v>
      </c>
      <c r="Z34" s="64" t="s">
        <v>255</v>
      </c>
      <c r="AA34" s="32" t="s">
        <v>77</v>
      </c>
      <c r="AB34" s="33">
        <f t="shared" ref="AB34:AB35" si="39">+IF(AA34="","",IF(AA34="Preventivo",0.25,IF(AA34="Detectivo",0.15,IF(AA34="Correctivo",0.1,))))</f>
        <v>0.25</v>
      </c>
      <c r="AC34" s="32" t="s">
        <v>66</v>
      </c>
      <c r="AD34" s="33">
        <f t="shared" ref="AD34:AD35" si="40">+IF(AC34="","",IF(AC34="Automático",0.25,IF(AC34="Manual",0.15)))</f>
        <v>0.15</v>
      </c>
      <c r="AE34" s="32" t="s">
        <v>67</v>
      </c>
      <c r="AF34" s="33">
        <f t="shared" ref="AF34:AF35" si="41">+IF(AE34="","",IF(AE34="Documentado",0.5,IF(AE34="Sin documentar",0)))</f>
        <v>0.5</v>
      </c>
      <c r="AG34" s="32" t="s">
        <v>68</v>
      </c>
      <c r="AH34" s="33">
        <f t="shared" ref="AH34:AH35" si="42">+IF(AG34="","",IF(AG34="Continua",0.1,IF(AG34="Aleatoria",0.05)))</f>
        <v>0.1</v>
      </c>
      <c r="AI34" s="32" t="s">
        <v>69</v>
      </c>
      <c r="AJ34" s="34">
        <f t="shared" ref="AJ34:AJ35" si="43">+IF(AI34="","",IF(AI34="Con registro",0.05,IF(AI34="Sin registro",0)))</f>
        <v>0.05</v>
      </c>
      <c r="AK34" s="34">
        <f>+IF(AK33="","",AK33-(SUM(AB34,AD34,AF34,AH34,AJ34)*AK33))</f>
        <v>1.5000000000000013E-3</v>
      </c>
      <c r="AL34" s="81"/>
      <c r="AM34" s="84"/>
      <c r="AN34" s="67">
        <f>+IF(AND(AA33="Correctivo",AA34="Correctivo",AA35="Correctivo"),AN33-(0.3*AN33),IF(AND(AA33="Correctivo",OR(AA34="Correctivo",AA35="Correctivo")),AN33-(0.2*AN33),IF(AND(AA34="Correctivo",OR(AA33="Correctivo",AA35="Correctivo")),AN33-(0.2*AN33),IF(AND(AA35="Correctivo",OR(AA34="Correctivo",AA33="Correctivo")),AN33-(0.2*AN33),IF(OR(AA33="Correctivo",AA34="Correctivo",AA35="Correctivo"),AN33-(0.1*AN33),AN33)))))</f>
        <v>0.6</v>
      </c>
      <c r="AO34" s="81"/>
      <c r="AP34" s="87"/>
      <c r="AQ34" s="84"/>
      <c r="AR34" s="90"/>
      <c r="AS34" s="93"/>
      <c r="AT34" s="36">
        <v>2</v>
      </c>
      <c r="AU34" s="64" t="s">
        <v>260</v>
      </c>
      <c r="AV34" s="64" t="s">
        <v>87</v>
      </c>
      <c r="AW34" s="49" t="s">
        <v>238</v>
      </c>
      <c r="AX34" s="63" t="s">
        <v>256</v>
      </c>
      <c r="AY34" s="64" t="s">
        <v>231</v>
      </c>
      <c r="AZ34" s="64" t="s">
        <v>124</v>
      </c>
      <c r="BA34" s="75"/>
      <c r="BB34" s="75"/>
      <c r="BC34" s="155"/>
    </row>
    <row r="35" spans="1:55" s="30" customFormat="1" ht="125.25" customHeight="1" thickBot="1" x14ac:dyDescent="0.3">
      <c r="A35" s="101"/>
      <c r="B35" s="76"/>
      <c r="C35" s="76"/>
      <c r="D35" s="76"/>
      <c r="E35" s="76"/>
      <c r="F35" s="76"/>
      <c r="G35" s="85"/>
      <c r="H35" s="91"/>
      <c r="I35" s="76"/>
      <c r="J35" s="76"/>
      <c r="K35" s="76"/>
      <c r="L35" s="76"/>
      <c r="M35" s="82"/>
      <c r="N35" s="85"/>
      <c r="O35" s="82"/>
      <c r="P35" s="88"/>
      <c r="Q35" s="85"/>
      <c r="R35" s="76"/>
      <c r="S35" s="76"/>
      <c r="T35" s="79"/>
      <c r="U35" s="37">
        <v>3</v>
      </c>
      <c r="V35" s="63" t="s">
        <v>97</v>
      </c>
      <c r="W35" s="65" t="s">
        <v>232</v>
      </c>
      <c r="X35" s="65" t="s">
        <v>233</v>
      </c>
      <c r="Y35" s="71" t="str">
        <f>CONCATENATE(V35,W35,X35)</f>
        <v>Profesional Universitario(219-04)-Gestión Humana
 implementará espacios para realizar procesos de empalme en los eventos de rotación de la planta con el fin de solventar las herramientas necesarias para la entrada del nuevo funcionario al cargo, y no generar traumatismos o reprocesos que afecten el correcto desarrollo de las actividades.</v>
      </c>
      <c r="Z35" s="65" t="s">
        <v>234</v>
      </c>
      <c r="AA35" s="38" t="s">
        <v>77</v>
      </c>
      <c r="AB35" s="39">
        <f t="shared" si="39"/>
        <v>0.25</v>
      </c>
      <c r="AC35" s="38" t="s">
        <v>66</v>
      </c>
      <c r="AD35" s="39">
        <f t="shared" si="40"/>
        <v>0.15</v>
      </c>
      <c r="AE35" s="38" t="s">
        <v>67</v>
      </c>
      <c r="AF35" s="39">
        <f t="shared" si="41"/>
        <v>0.5</v>
      </c>
      <c r="AG35" s="38" t="s">
        <v>68</v>
      </c>
      <c r="AH35" s="39">
        <f t="shared" si="42"/>
        <v>0.1</v>
      </c>
      <c r="AI35" s="38" t="s">
        <v>69</v>
      </c>
      <c r="AJ35" s="40">
        <f t="shared" si="43"/>
        <v>0.05</v>
      </c>
      <c r="AK35" s="40">
        <f>+IF(AK34="","",AK34-(SUM(AB35,AD35,AF35,AH35,AJ35)*AK34))</f>
        <v>-7.5000000000000197E-5</v>
      </c>
      <c r="AL35" s="82"/>
      <c r="AM35" s="85"/>
      <c r="AN35" s="68">
        <f>+IF(R33="Evitar",#REF!-(#REF!*0.1),MIN(AN34:AN34))</f>
        <v>0.6</v>
      </c>
      <c r="AO35" s="82"/>
      <c r="AP35" s="88"/>
      <c r="AQ35" s="85"/>
      <c r="AR35" s="91"/>
      <c r="AS35" s="94"/>
      <c r="AT35" s="42">
        <v>3</v>
      </c>
      <c r="AU35" s="65" t="s">
        <v>235</v>
      </c>
      <c r="AV35" s="64" t="s">
        <v>87</v>
      </c>
      <c r="AW35" s="49" t="s">
        <v>238</v>
      </c>
      <c r="AX35" s="65" t="s">
        <v>236</v>
      </c>
      <c r="AY35" s="65" t="s">
        <v>162</v>
      </c>
      <c r="AZ35" s="65" t="s">
        <v>122</v>
      </c>
      <c r="BA35" s="76"/>
      <c r="BB35" s="76"/>
      <c r="BC35" s="156"/>
    </row>
    <row r="37" spans="1:55" x14ac:dyDescent="0.2">
      <c r="D37" s="61"/>
      <c r="E37" s="61"/>
      <c r="F37" s="62"/>
    </row>
    <row r="38" spans="1:55" x14ac:dyDescent="0.2">
      <c r="D38" s="61"/>
      <c r="E38" s="61"/>
      <c r="F38" s="62"/>
    </row>
    <row r="39" spans="1:55" x14ac:dyDescent="0.2">
      <c r="D39" s="61"/>
      <c r="E39" s="61"/>
      <c r="F39" s="62"/>
    </row>
    <row r="40" spans="1:55" x14ac:dyDescent="0.2">
      <c r="D40" s="61"/>
      <c r="E40" s="61"/>
      <c r="F40" s="62"/>
    </row>
    <row r="41" spans="1:55" x14ac:dyDescent="0.2">
      <c r="D41" s="61"/>
      <c r="E41" s="61"/>
      <c r="F41" s="62"/>
    </row>
    <row r="42" spans="1:55" x14ac:dyDescent="0.2">
      <c r="D42" s="61"/>
      <c r="E42" s="61"/>
      <c r="F42" s="62"/>
    </row>
    <row r="43" spans="1:55" x14ac:dyDescent="0.2">
      <c r="D43" s="61"/>
      <c r="E43" s="61"/>
      <c r="F43" s="62"/>
    </row>
    <row r="44" spans="1:55" x14ac:dyDescent="0.2">
      <c r="D44" s="61"/>
      <c r="E44" s="61"/>
      <c r="F44" s="62"/>
    </row>
    <row r="45" spans="1:55" x14ac:dyDescent="0.2">
      <c r="D45" s="61"/>
      <c r="E45" s="61"/>
      <c r="F45" s="62"/>
    </row>
    <row r="46" spans="1:55" x14ac:dyDescent="0.2">
      <c r="D46" s="61"/>
      <c r="E46" s="61"/>
      <c r="F46" s="62"/>
    </row>
    <row r="47" spans="1:55" x14ac:dyDescent="0.2">
      <c r="D47" s="62"/>
      <c r="E47" s="62"/>
      <c r="F47" s="62"/>
    </row>
  </sheetData>
  <sheetProtection formatCells="0" formatColumns="0" formatRows="0" insertColumns="0" insertRows="0" insertHyperlinks="0" deleteColumns="0" deleteRows="0" sort="0" autoFilter="0" pivotTables="0"/>
  <dataConsolidate/>
  <mergeCells count="239">
    <mergeCell ref="BA33:BA35"/>
    <mergeCell ref="BB33:BB35"/>
    <mergeCell ref="BC33:BC35"/>
    <mergeCell ref="S33:S35"/>
    <mergeCell ref="T33:T35"/>
    <mergeCell ref="AL33:AL35"/>
    <mergeCell ref="AM33:AM35"/>
    <mergeCell ref="AO33:AO35"/>
    <mergeCell ref="AP33:AP35"/>
    <mergeCell ref="AQ33:AQ35"/>
    <mergeCell ref="AR33:AR35"/>
    <mergeCell ref="AS33:AS35"/>
    <mergeCell ref="J33:J35"/>
    <mergeCell ref="K33:K35"/>
    <mergeCell ref="L33:L35"/>
    <mergeCell ref="M33:M35"/>
    <mergeCell ref="N33:N35"/>
    <mergeCell ref="O33:O35"/>
    <mergeCell ref="P33:P35"/>
    <mergeCell ref="Q33:Q35"/>
    <mergeCell ref="R33:R35"/>
    <mergeCell ref="A33:A35"/>
    <mergeCell ref="B33:B35"/>
    <mergeCell ref="C33:C35"/>
    <mergeCell ref="D33:D35"/>
    <mergeCell ref="E33:E35"/>
    <mergeCell ref="F33:F35"/>
    <mergeCell ref="G33:G35"/>
    <mergeCell ref="H33:H35"/>
    <mergeCell ref="I33:I35"/>
    <mergeCell ref="BA30:BA32"/>
    <mergeCell ref="BB30:BB32"/>
    <mergeCell ref="BC30:BC32"/>
    <mergeCell ref="S30:S32"/>
    <mergeCell ref="T30:T32"/>
    <mergeCell ref="AL30:AL32"/>
    <mergeCell ref="AM30:AM32"/>
    <mergeCell ref="AO30:AO32"/>
    <mergeCell ref="AP30:AP32"/>
    <mergeCell ref="AQ30:AQ32"/>
    <mergeCell ref="AR30:AR32"/>
    <mergeCell ref="AS30:AS32"/>
    <mergeCell ref="J30:J32"/>
    <mergeCell ref="K30:K32"/>
    <mergeCell ref="L30:L32"/>
    <mergeCell ref="M30:M32"/>
    <mergeCell ref="N30:N32"/>
    <mergeCell ref="O30:O32"/>
    <mergeCell ref="P30:P32"/>
    <mergeCell ref="Q30:Q32"/>
    <mergeCell ref="R30:R32"/>
    <mergeCell ref="A30:A32"/>
    <mergeCell ref="B30:B32"/>
    <mergeCell ref="C30:C32"/>
    <mergeCell ref="D30:D32"/>
    <mergeCell ref="E30:E32"/>
    <mergeCell ref="F30:F32"/>
    <mergeCell ref="G30:G32"/>
    <mergeCell ref="H30:H32"/>
    <mergeCell ref="I30:I32"/>
    <mergeCell ref="E15:E17"/>
    <mergeCell ref="A1:D4"/>
    <mergeCell ref="BB15:BB17"/>
    <mergeCell ref="BB13:BB14"/>
    <mergeCell ref="AQ18:AQ20"/>
    <mergeCell ref="AR18:AR20"/>
    <mergeCell ref="AS18:AS20"/>
    <mergeCell ref="BA18:BA20"/>
    <mergeCell ref="A12:Q12"/>
    <mergeCell ref="AT13:AZ13"/>
    <mergeCell ref="M14:N14"/>
    <mergeCell ref="AL14:AM14"/>
    <mergeCell ref="AO14:AP14"/>
    <mergeCell ref="O14:P14"/>
    <mergeCell ref="AE13:AJ13"/>
    <mergeCell ref="AA13:AD13"/>
    <mergeCell ref="R12:AZ12"/>
    <mergeCell ref="C15:C17"/>
    <mergeCell ref="J15:J17"/>
    <mergeCell ref="G15:G17"/>
    <mergeCell ref="F15:F17"/>
    <mergeCell ref="D15:D17"/>
    <mergeCell ref="H15:H17"/>
    <mergeCell ref="AQ15:AQ17"/>
    <mergeCell ref="BC13:BC14"/>
    <mergeCell ref="D6:BC6"/>
    <mergeCell ref="D8:BC8"/>
    <mergeCell ref="D10:BC10"/>
    <mergeCell ref="BC15:BC17"/>
    <mergeCell ref="BA12:BC12"/>
    <mergeCell ref="U13:Z13"/>
    <mergeCell ref="AR15:AR17"/>
    <mergeCell ref="AS15:AS17"/>
    <mergeCell ref="AK13:AQ13"/>
    <mergeCell ref="M13:Q13"/>
    <mergeCell ref="R13:T13"/>
    <mergeCell ref="A13:G13"/>
    <mergeCell ref="I15:I17"/>
    <mergeCell ref="S15:S17"/>
    <mergeCell ref="T15:T17"/>
    <mergeCell ref="AR13:AS13"/>
    <mergeCell ref="BA15:BA17"/>
    <mergeCell ref="H13:L13"/>
    <mergeCell ref="BA13:BA14"/>
    <mergeCell ref="N15:N17"/>
    <mergeCell ref="M15:M17"/>
    <mergeCell ref="K15:K17"/>
    <mergeCell ref="B15:B17"/>
    <mergeCell ref="E1:BB2"/>
    <mergeCell ref="E3:BB4"/>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AM15:AM17"/>
    <mergeCell ref="AL15:AL17"/>
    <mergeCell ref="R15:R17"/>
    <mergeCell ref="Q15:Q17"/>
    <mergeCell ref="P15:P17"/>
    <mergeCell ref="O15:O17"/>
    <mergeCell ref="AP15:AP17"/>
    <mergeCell ref="A15:A17"/>
    <mergeCell ref="T18:T20"/>
    <mergeCell ref="AL18:AL20"/>
    <mergeCell ref="AM18:AM20"/>
    <mergeCell ref="AO18:AO20"/>
    <mergeCell ref="AP18:AP20"/>
    <mergeCell ref="O18:O20"/>
    <mergeCell ref="P18:P20"/>
    <mergeCell ref="Q18:Q20"/>
    <mergeCell ref="R18:R20"/>
    <mergeCell ref="S18:S20"/>
    <mergeCell ref="L15:L17"/>
    <mergeCell ref="AO15:AO17"/>
    <mergeCell ref="A6:C6"/>
    <mergeCell ref="A8:C8"/>
    <mergeCell ref="A10:C10"/>
    <mergeCell ref="BB18:BB20"/>
    <mergeCell ref="BC18:BC20"/>
    <mergeCell ref="A21:A23"/>
    <mergeCell ref="B21:B23"/>
    <mergeCell ref="C21:C23"/>
    <mergeCell ref="D21:D23"/>
    <mergeCell ref="E21:E23"/>
    <mergeCell ref="F21:F23"/>
    <mergeCell ref="G21:G23"/>
    <mergeCell ref="H21:H23"/>
    <mergeCell ref="I21:I23"/>
    <mergeCell ref="J21:J23"/>
    <mergeCell ref="K21:K23"/>
    <mergeCell ref="L21:L23"/>
    <mergeCell ref="M21:M23"/>
    <mergeCell ref="N21:N23"/>
    <mergeCell ref="O21:O23"/>
    <mergeCell ref="P21:P23"/>
    <mergeCell ref="Q21:Q23"/>
    <mergeCell ref="R21:R23"/>
    <mergeCell ref="BA21:BA23"/>
    <mergeCell ref="BB21:BB23"/>
    <mergeCell ref="BC21:BC23"/>
    <mergeCell ref="S21:S23"/>
    <mergeCell ref="T21:T23"/>
    <mergeCell ref="AL21:AL23"/>
    <mergeCell ref="AM21:AM23"/>
    <mergeCell ref="AO21:AO23"/>
    <mergeCell ref="AP21:AP23"/>
    <mergeCell ref="AQ21:AQ23"/>
    <mergeCell ref="AR21:AR23"/>
    <mergeCell ref="AS21:AS23"/>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O24:O26"/>
    <mergeCell ref="P24:P26"/>
    <mergeCell ref="Q24:Q26"/>
    <mergeCell ref="R24:R26"/>
    <mergeCell ref="S24:S26"/>
    <mergeCell ref="T24:T26"/>
    <mergeCell ref="AL24:AL26"/>
    <mergeCell ref="AM24:AM26"/>
    <mergeCell ref="AO24:AO26"/>
    <mergeCell ref="AP24:AP26"/>
    <mergeCell ref="AQ24:AQ26"/>
    <mergeCell ref="AR24:AR26"/>
    <mergeCell ref="AS24:AS26"/>
    <mergeCell ref="AR27:AR29"/>
    <mergeCell ref="AS27:AS29"/>
    <mergeCell ref="BA24:BA26"/>
    <mergeCell ref="BB24:BB26"/>
    <mergeCell ref="BC24:BC26"/>
    <mergeCell ref="A27:A29"/>
    <mergeCell ref="B27:B29"/>
    <mergeCell ref="C27:C29"/>
    <mergeCell ref="D27:D29"/>
    <mergeCell ref="E27:E29"/>
    <mergeCell ref="F27:F29"/>
    <mergeCell ref="G27:G29"/>
    <mergeCell ref="H27:H29"/>
    <mergeCell ref="I27:I29"/>
    <mergeCell ref="L27:L29"/>
    <mergeCell ref="M27:M29"/>
    <mergeCell ref="N27:N29"/>
    <mergeCell ref="O27:O29"/>
    <mergeCell ref="P27:P29"/>
    <mergeCell ref="Q27:Q29"/>
    <mergeCell ref="R27:R29"/>
    <mergeCell ref="BA27:BA29"/>
    <mergeCell ref="BB27:BB29"/>
    <mergeCell ref="BC27:BC29"/>
    <mergeCell ref="J27:J29"/>
    <mergeCell ref="K27:K29"/>
    <mergeCell ref="S27:S29"/>
    <mergeCell ref="T27:T29"/>
    <mergeCell ref="AL27:AL29"/>
    <mergeCell ref="AM27:AM29"/>
    <mergeCell ref="AO27:AO29"/>
    <mergeCell ref="AP27:AP29"/>
    <mergeCell ref="AQ27:AQ29"/>
  </mergeCells>
  <phoneticPr fontId="14" type="noConversion"/>
  <conditionalFormatting sqref="N15">
    <cfRule type="containsText" dxfId="179" priority="462" operator="containsText" text="Muy Baja">
      <formula>NOT(ISERROR(SEARCH("Muy Baja",N15)))</formula>
    </cfRule>
    <cfRule type="containsText" dxfId="178" priority="463" operator="containsText" text="Baja">
      <formula>NOT(ISERROR(SEARCH("Baja",N15)))</formula>
    </cfRule>
    <cfRule type="containsText" dxfId="177" priority="464" operator="containsText" text="Media">
      <formula>NOT(ISERROR(SEARCH("Media",N15)))</formula>
    </cfRule>
    <cfRule type="containsText" dxfId="176" priority="465" operator="containsText" text="Alta">
      <formula>NOT(ISERROR(SEARCH("Alta",N15)))</formula>
    </cfRule>
    <cfRule type="containsText" dxfId="175" priority="466" operator="containsText" text="Muy Alta">
      <formula>NOT(ISERROR(SEARCH("Muy Alta",N15)))</formula>
    </cfRule>
  </conditionalFormatting>
  <conditionalFormatting sqref="N18">
    <cfRule type="containsText" dxfId="174" priority="376" operator="containsText" text="Muy Baja">
      <formula>NOT(ISERROR(SEARCH("Muy Baja",N18)))</formula>
    </cfRule>
    <cfRule type="containsText" dxfId="173" priority="377" operator="containsText" text="Baja">
      <formula>NOT(ISERROR(SEARCH("Baja",N18)))</formula>
    </cfRule>
    <cfRule type="containsText" dxfId="172" priority="378" operator="containsText" text="Media">
      <formula>NOT(ISERROR(SEARCH("Media",N18)))</formula>
    </cfRule>
    <cfRule type="containsText" dxfId="171" priority="379" operator="containsText" text="Alta">
      <formula>NOT(ISERROR(SEARCH("Alta",N18)))</formula>
    </cfRule>
    <cfRule type="containsText" dxfId="170" priority="380" operator="containsText" text="Muy Alta">
      <formula>NOT(ISERROR(SEARCH("Muy Alta",N18)))</formula>
    </cfRule>
  </conditionalFormatting>
  <conditionalFormatting sqref="N21">
    <cfRule type="containsText" dxfId="169" priority="292" operator="containsText" text="Muy Baja">
      <formula>NOT(ISERROR(SEARCH("Muy Baja",N21)))</formula>
    </cfRule>
    <cfRule type="containsText" dxfId="168" priority="293" operator="containsText" text="Baja">
      <formula>NOT(ISERROR(SEARCH("Baja",N21)))</formula>
    </cfRule>
    <cfRule type="containsText" dxfId="167" priority="294" operator="containsText" text="Media">
      <formula>NOT(ISERROR(SEARCH("Media",N21)))</formula>
    </cfRule>
    <cfRule type="containsText" dxfId="166" priority="295" operator="containsText" text="Alta">
      <formula>NOT(ISERROR(SEARCH("Alta",N21)))</formula>
    </cfRule>
    <cfRule type="containsText" dxfId="165" priority="296" operator="containsText" text="Muy Alta">
      <formula>NOT(ISERROR(SEARCH("Muy Alta",N21)))</formula>
    </cfRule>
  </conditionalFormatting>
  <conditionalFormatting sqref="N24">
    <cfRule type="containsText" dxfId="164" priority="240" operator="containsText" text="Muy Baja">
      <formula>NOT(ISERROR(SEARCH("Muy Baja",N24)))</formula>
    </cfRule>
    <cfRule type="containsText" dxfId="163" priority="241" operator="containsText" text="Baja">
      <formula>NOT(ISERROR(SEARCH("Baja",N24)))</formula>
    </cfRule>
    <cfRule type="containsText" dxfId="162" priority="242" operator="containsText" text="Media">
      <formula>NOT(ISERROR(SEARCH("Media",N24)))</formula>
    </cfRule>
    <cfRule type="containsText" dxfId="161" priority="243" operator="containsText" text="Alta">
      <formula>NOT(ISERROR(SEARCH("Alta",N24)))</formula>
    </cfRule>
    <cfRule type="containsText" dxfId="160" priority="244" operator="containsText" text="Muy Alta">
      <formula>NOT(ISERROR(SEARCH("Muy Alta",N24)))</formula>
    </cfRule>
  </conditionalFormatting>
  <conditionalFormatting sqref="N27">
    <cfRule type="containsText" dxfId="159" priority="162" operator="containsText" text="Muy Baja">
      <formula>NOT(ISERROR(SEARCH("Muy Baja",N27)))</formula>
    </cfRule>
    <cfRule type="containsText" dxfId="158" priority="163" operator="containsText" text="Baja">
      <formula>NOT(ISERROR(SEARCH("Baja",N27)))</formula>
    </cfRule>
    <cfRule type="containsText" dxfId="157" priority="164" operator="containsText" text="Media">
      <formula>NOT(ISERROR(SEARCH("Media",N27)))</formula>
    </cfRule>
    <cfRule type="containsText" dxfId="156" priority="165" operator="containsText" text="Alta">
      <formula>NOT(ISERROR(SEARCH("Alta",N27)))</formula>
    </cfRule>
    <cfRule type="containsText" dxfId="155" priority="166" operator="containsText" text="Muy Alta">
      <formula>NOT(ISERROR(SEARCH("Muy Alta",N27)))</formula>
    </cfRule>
  </conditionalFormatting>
  <conditionalFormatting sqref="P15">
    <cfRule type="containsText" dxfId="154" priority="492" operator="containsText" text="Leve">
      <formula>NOT(ISERROR(SEARCH("Leve",P15)))</formula>
    </cfRule>
    <cfRule type="containsText" dxfId="153" priority="493" operator="containsText" text="Menor">
      <formula>NOT(ISERROR(SEARCH("Menor",P15)))</formula>
    </cfRule>
    <cfRule type="containsText" dxfId="152" priority="495" operator="containsText" text="Mayor">
      <formula>NOT(ISERROR(SEARCH("Mayor",P15)))</formula>
    </cfRule>
    <cfRule type="containsText" dxfId="151" priority="496" operator="containsText" text="Catastrófico">
      <formula>NOT(ISERROR(SEARCH("Catastrófico",P15)))</formula>
    </cfRule>
  </conditionalFormatting>
  <conditionalFormatting sqref="P18">
    <cfRule type="containsText" dxfId="150" priority="386" operator="containsText" text="Leve">
      <formula>NOT(ISERROR(SEARCH("Leve",P18)))</formula>
    </cfRule>
    <cfRule type="containsText" dxfId="149" priority="387" operator="containsText" text="Menor">
      <formula>NOT(ISERROR(SEARCH("Menor",P18)))</formula>
    </cfRule>
    <cfRule type="containsText" dxfId="148" priority="389" operator="containsText" text="Mayor">
      <formula>NOT(ISERROR(SEARCH("Mayor",P18)))</formula>
    </cfRule>
    <cfRule type="containsText" dxfId="147" priority="390" operator="containsText" text="Catastrófico">
      <formula>NOT(ISERROR(SEARCH("Catastrófico",P18)))</formula>
    </cfRule>
  </conditionalFormatting>
  <conditionalFormatting sqref="P21">
    <cfRule type="containsText" dxfId="146" priority="302" operator="containsText" text="Leve">
      <formula>NOT(ISERROR(SEARCH("Leve",P21)))</formula>
    </cfRule>
    <cfRule type="containsText" dxfId="145" priority="303" operator="containsText" text="Menor">
      <formula>NOT(ISERROR(SEARCH("Menor",P21)))</formula>
    </cfRule>
    <cfRule type="containsText" dxfId="144" priority="305" operator="containsText" text="Mayor">
      <formula>NOT(ISERROR(SEARCH("Mayor",P21)))</formula>
    </cfRule>
    <cfRule type="containsText" dxfId="143" priority="306" operator="containsText" text="Catastrófico">
      <formula>NOT(ISERROR(SEARCH("Catastrófico",P21)))</formula>
    </cfRule>
  </conditionalFormatting>
  <conditionalFormatting sqref="P24">
    <cfRule type="containsText" dxfId="142" priority="250" operator="containsText" text="Leve">
      <formula>NOT(ISERROR(SEARCH("Leve",P24)))</formula>
    </cfRule>
    <cfRule type="containsText" dxfId="141" priority="251" operator="containsText" text="Menor">
      <formula>NOT(ISERROR(SEARCH("Menor",P24)))</formula>
    </cfRule>
    <cfRule type="containsText" dxfId="140" priority="253" operator="containsText" text="Mayor">
      <formula>NOT(ISERROR(SEARCH("Mayor",P24)))</formula>
    </cfRule>
    <cfRule type="containsText" dxfId="139" priority="254" operator="containsText" text="Catastrófico">
      <formula>NOT(ISERROR(SEARCH("Catastrófico",P24)))</formula>
    </cfRule>
  </conditionalFormatting>
  <conditionalFormatting sqref="P27">
    <cfRule type="containsText" dxfId="138" priority="172" operator="containsText" text="Leve">
      <formula>NOT(ISERROR(SEARCH("Leve",P27)))</formula>
    </cfRule>
    <cfRule type="containsText" dxfId="137" priority="173" operator="containsText" text="Menor">
      <formula>NOT(ISERROR(SEARCH("Menor",P27)))</formula>
    </cfRule>
    <cfRule type="containsText" dxfId="136" priority="175" operator="containsText" text="Mayor">
      <formula>NOT(ISERROR(SEARCH("Mayor",P27)))</formula>
    </cfRule>
    <cfRule type="containsText" dxfId="135" priority="176" operator="containsText" text="Catastrófico">
      <formula>NOT(ISERROR(SEARCH("Catastrófico",P27)))</formula>
    </cfRule>
  </conditionalFormatting>
  <conditionalFormatting sqref="P15:Q15">
    <cfRule type="containsText" dxfId="134" priority="494" operator="containsText" text="Moderado">
      <formula>NOT(ISERROR(SEARCH("Moderado",P15)))</formula>
    </cfRule>
  </conditionalFormatting>
  <conditionalFormatting sqref="P18:Q18">
    <cfRule type="containsText" dxfId="133" priority="388" operator="containsText" text="Moderado">
      <formula>NOT(ISERROR(SEARCH("Moderado",P18)))</formula>
    </cfRule>
  </conditionalFormatting>
  <conditionalFormatting sqref="P21:Q21">
    <cfRule type="containsText" dxfId="132" priority="304" operator="containsText" text="Moderado">
      <formula>NOT(ISERROR(SEARCH("Moderado",P21)))</formula>
    </cfRule>
  </conditionalFormatting>
  <conditionalFormatting sqref="P24:Q24">
    <cfRule type="containsText" dxfId="131" priority="252" operator="containsText" text="Moderado">
      <formula>NOT(ISERROR(SEARCH("Moderado",P24)))</formula>
    </cfRule>
  </conditionalFormatting>
  <conditionalFormatting sqref="P27:Q27">
    <cfRule type="containsText" dxfId="130" priority="174" operator="containsText" text="Moderado">
      <formula>NOT(ISERROR(SEARCH("Moderado",P27)))</formula>
    </cfRule>
  </conditionalFormatting>
  <conditionalFormatting sqref="Q15">
    <cfRule type="containsText" dxfId="129" priority="501" operator="containsText" text="Bajo">
      <formula>NOT(ISERROR(SEARCH("Bajo",Q15)))</formula>
    </cfRule>
    <cfRule type="containsText" dxfId="128" priority="503" operator="containsText" text="Alto">
      <formula>NOT(ISERROR(SEARCH("Alto",Q15)))</formula>
    </cfRule>
    <cfRule type="containsText" dxfId="127" priority="504" operator="containsText" text="Extremo">
      <formula>NOT(ISERROR(SEARCH("Extremo",Q15)))</formula>
    </cfRule>
  </conditionalFormatting>
  <conditionalFormatting sqref="Q18">
    <cfRule type="containsText" dxfId="126" priority="391" operator="containsText" text="Bajo">
      <formula>NOT(ISERROR(SEARCH("Bajo",Q18)))</formula>
    </cfRule>
    <cfRule type="containsText" dxfId="125" priority="392" operator="containsText" text="Alto">
      <formula>NOT(ISERROR(SEARCH("Alto",Q18)))</formula>
    </cfRule>
    <cfRule type="containsText" dxfId="124" priority="393" operator="containsText" text="Extremo">
      <formula>NOT(ISERROR(SEARCH("Extremo",Q18)))</formula>
    </cfRule>
  </conditionalFormatting>
  <conditionalFormatting sqref="Q21">
    <cfRule type="containsText" dxfId="123" priority="307" operator="containsText" text="Bajo">
      <formula>NOT(ISERROR(SEARCH("Bajo",Q21)))</formula>
    </cfRule>
    <cfRule type="containsText" dxfId="122" priority="308" operator="containsText" text="Alto">
      <formula>NOT(ISERROR(SEARCH("Alto",Q21)))</formula>
    </cfRule>
    <cfRule type="containsText" dxfId="121" priority="309" operator="containsText" text="Extremo">
      <formula>NOT(ISERROR(SEARCH("Extremo",Q21)))</formula>
    </cfRule>
  </conditionalFormatting>
  <conditionalFormatting sqref="Q24">
    <cfRule type="containsText" dxfId="120" priority="255" operator="containsText" text="Bajo">
      <formula>NOT(ISERROR(SEARCH("Bajo",Q24)))</formula>
    </cfRule>
    <cfRule type="containsText" dxfId="119" priority="256" operator="containsText" text="Alto">
      <formula>NOT(ISERROR(SEARCH("Alto",Q24)))</formula>
    </cfRule>
    <cfRule type="containsText" dxfId="118" priority="257" operator="containsText" text="Extremo">
      <formula>NOT(ISERROR(SEARCH("Extremo",Q24)))</formula>
    </cfRule>
  </conditionalFormatting>
  <conditionalFormatting sqref="Q27">
    <cfRule type="containsText" dxfId="117" priority="177" operator="containsText" text="Bajo">
      <formula>NOT(ISERROR(SEARCH("Bajo",Q27)))</formula>
    </cfRule>
    <cfRule type="containsText" dxfId="116" priority="178" operator="containsText" text="Alto">
      <formula>NOT(ISERROR(SEARCH("Alto",Q27)))</formula>
    </cfRule>
    <cfRule type="containsText" dxfId="115" priority="179" operator="containsText" text="Extremo">
      <formula>NOT(ISERROR(SEARCH("Extremo",Q27)))</formula>
    </cfRule>
  </conditionalFormatting>
  <conditionalFormatting sqref="AM15 AN16:AN17">
    <cfRule type="containsText" dxfId="114" priority="477" operator="containsText" text="Muy Baja">
      <formula>NOT(ISERROR(SEARCH("Muy Baja",AM15)))</formula>
    </cfRule>
    <cfRule type="containsText" dxfId="113" priority="483" operator="containsText" text="Baja">
      <formula>NOT(ISERROR(SEARCH("Baja",AM15)))</formula>
    </cfRule>
    <cfRule type="containsText" dxfId="112" priority="484" operator="containsText" text="Media">
      <formula>NOT(ISERROR(SEARCH("Media",AM15)))</formula>
    </cfRule>
    <cfRule type="containsText" dxfId="111" priority="485" operator="containsText" text="Alta">
      <formula>NOT(ISERROR(SEARCH("Alta",AM15)))</formula>
    </cfRule>
    <cfRule type="containsText" dxfId="110" priority="486" operator="containsText" text="Muy Alta">
      <formula>NOT(ISERROR(SEARCH("Muy Alta",AM15)))</formula>
    </cfRule>
  </conditionalFormatting>
  <conditionalFormatting sqref="AM18 AN19">
    <cfRule type="containsText" dxfId="109" priority="381" operator="containsText" text="Muy Baja">
      <formula>NOT(ISERROR(SEARCH("Muy Baja",AM18)))</formula>
    </cfRule>
    <cfRule type="containsText" dxfId="108" priority="382" operator="containsText" text="Baja">
      <formula>NOT(ISERROR(SEARCH("Baja",AM18)))</formula>
    </cfRule>
    <cfRule type="containsText" dxfId="107" priority="383" operator="containsText" text="Media">
      <formula>NOT(ISERROR(SEARCH("Media",AM18)))</formula>
    </cfRule>
    <cfRule type="containsText" dxfId="106" priority="384" operator="containsText" text="Alta">
      <formula>NOT(ISERROR(SEARCH("Alta",AM18)))</formula>
    </cfRule>
    <cfRule type="containsText" dxfId="105" priority="385" operator="containsText" text="Muy Alta">
      <formula>NOT(ISERROR(SEARCH("Muy Alta",AM18)))</formula>
    </cfRule>
  </conditionalFormatting>
  <conditionalFormatting sqref="AM21 AN22">
    <cfRule type="containsText" dxfId="104" priority="297" operator="containsText" text="Muy Baja">
      <formula>NOT(ISERROR(SEARCH("Muy Baja",AM21)))</formula>
    </cfRule>
    <cfRule type="containsText" dxfId="103" priority="298" operator="containsText" text="Baja">
      <formula>NOT(ISERROR(SEARCH("Baja",AM21)))</formula>
    </cfRule>
    <cfRule type="containsText" dxfId="102" priority="299" operator="containsText" text="Media">
      <formula>NOT(ISERROR(SEARCH("Media",AM21)))</formula>
    </cfRule>
    <cfRule type="containsText" dxfId="101" priority="300" operator="containsText" text="Alta">
      <formula>NOT(ISERROR(SEARCH("Alta",AM21)))</formula>
    </cfRule>
    <cfRule type="containsText" dxfId="100" priority="301" operator="containsText" text="Muy Alta">
      <formula>NOT(ISERROR(SEARCH("Muy Alta",AM21)))</formula>
    </cfRule>
  </conditionalFormatting>
  <conditionalFormatting sqref="AM24 AN25">
    <cfRule type="containsText" dxfId="99" priority="245" operator="containsText" text="Muy Baja">
      <formula>NOT(ISERROR(SEARCH("Muy Baja",AM24)))</formula>
    </cfRule>
    <cfRule type="containsText" dxfId="98" priority="246" operator="containsText" text="Baja">
      <formula>NOT(ISERROR(SEARCH("Baja",AM24)))</formula>
    </cfRule>
    <cfRule type="containsText" dxfId="97" priority="247" operator="containsText" text="Media">
      <formula>NOT(ISERROR(SEARCH("Media",AM24)))</formula>
    </cfRule>
    <cfRule type="containsText" dxfId="96" priority="248" operator="containsText" text="Alta">
      <formula>NOT(ISERROR(SEARCH("Alta",AM24)))</formula>
    </cfRule>
    <cfRule type="containsText" dxfId="95" priority="249" operator="containsText" text="Muy Alta">
      <formula>NOT(ISERROR(SEARCH("Muy Alta",AM24)))</formula>
    </cfRule>
  </conditionalFormatting>
  <conditionalFormatting sqref="AM27 AN28">
    <cfRule type="containsText" dxfId="94" priority="167" operator="containsText" text="Muy Baja">
      <formula>NOT(ISERROR(SEARCH("Muy Baja",AM27)))</formula>
    </cfRule>
    <cfRule type="containsText" dxfId="93" priority="168" operator="containsText" text="Baja">
      <formula>NOT(ISERROR(SEARCH("Baja",AM27)))</formula>
    </cfRule>
    <cfRule type="containsText" dxfId="92" priority="169" operator="containsText" text="Media">
      <formula>NOT(ISERROR(SEARCH("Media",AM27)))</formula>
    </cfRule>
    <cfRule type="containsText" dxfId="91" priority="170" operator="containsText" text="Alta">
      <formula>NOT(ISERROR(SEARCH("Alta",AM27)))</formula>
    </cfRule>
    <cfRule type="containsText" dxfId="90" priority="171" operator="containsText" text="Muy Alta">
      <formula>NOT(ISERROR(SEARCH("Muy Alta",AM27)))</formula>
    </cfRule>
  </conditionalFormatting>
  <conditionalFormatting sqref="AP15">
    <cfRule type="containsText" dxfId="89" priority="448" operator="containsText" text="Leve">
      <formula>NOT(ISERROR(SEARCH("Leve",AP15)))</formula>
    </cfRule>
    <cfRule type="containsText" dxfId="88" priority="449" operator="containsText" text="Menor">
      <formula>NOT(ISERROR(SEARCH("Menor",AP15)))</formula>
    </cfRule>
    <cfRule type="containsText" dxfId="87" priority="450" operator="containsText" text="Moderado">
      <formula>NOT(ISERROR(SEARCH("Moderado",AP15)))</formula>
    </cfRule>
    <cfRule type="containsText" dxfId="86" priority="451" operator="containsText" text="Mayor">
      <formula>NOT(ISERROR(SEARCH("Mayor",AP15)))</formula>
    </cfRule>
    <cfRule type="containsText" dxfId="85" priority="452" operator="containsText" text="Catastrófico">
      <formula>NOT(ISERROR(SEARCH("Catastrófico",AP15)))</formula>
    </cfRule>
  </conditionalFormatting>
  <conditionalFormatting sqref="AP18">
    <cfRule type="containsText" dxfId="84" priority="367" operator="containsText" text="Leve">
      <formula>NOT(ISERROR(SEARCH("Leve",AP18)))</formula>
    </cfRule>
    <cfRule type="containsText" dxfId="83" priority="368" operator="containsText" text="Menor">
      <formula>NOT(ISERROR(SEARCH("Menor",AP18)))</formula>
    </cfRule>
    <cfRule type="containsText" dxfId="82" priority="370" operator="containsText" text="Mayor">
      <formula>NOT(ISERROR(SEARCH("Mayor",AP18)))</formula>
    </cfRule>
    <cfRule type="containsText" dxfId="81" priority="371" operator="containsText" text="Catastrófico">
      <formula>NOT(ISERROR(SEARCH("Catastrófico",AP18)))</formula>
    </cfRule>
  </conditionalFormatting>
  <conditionalFormatting sqref="AP21">
    <cfRule type="containsText" dxfId="80" priority="287" operator="containsText" text="Leve">
      <formula>NOT(ISERROR(SEARCH("Leve",AP21)))</formula>
    </cfRule>
    <cfRule type="containsText" dxfId="79" priority="288" operator="containsText" text="Menor">
      <formula>NOT(ISERROR(SEARCH("Menor",AP21)))</formula>
    </cfRule>
    <cfRule type="containsText" dxfId="78" priority="290" operator="containsText" text="Mayor">
      <formula>NOT(ISERROR(SEARCH("Mayor",AP21)))</formula>
    </cfRule>
    <cfRule type="containsText" dxfId="77" priority="291" operator="containsText" text="Catastrófico">
      <formula>NOT(ISERROR(SEARCH("Catastrófico",AP21)))</formula>
    </cfRule>
  </conditionalFormatting>
  <conditionalFormatting sqref="AP24">
    <cfRule type="containsText" dxfId="76" priority="235" operator="containsText" text="Leve">
      <formula>NOT(ISERROR(SEARCH("Leve",AP24)))</formula>
    </cfRule>
    <cfRule type="containsText" dxfId="75" priority="236" operator="containsText" text="Menor">
      <formula>NOT(ISERROR(SEARCH("Menor",AP24)))</formula>
    </cfRule>
    <cfRule type="containsText" dxfId="74" priority="238" operator="containsText" text="Mayor">
      <formula>NOT(ISERROR(SEARCH("Mayor",AP24)))</formula>
    </cfRule>
    <cfRule type="containsText" dxfId="73" priority="239" operator="containsText" text="Catastrófico">
      <formula>NOT(ISERROR(SEARCH("Catastrófico",AP24)))</formula>
    </cfRule>
  </conditionalFormatting>
  <conditionalFormatting sqref="AP27">
    <cfRule type="containsText" dxfId="72" priority="157" operator="containsText" text="Leve">
      <formula>NOT(ISERROR(SEARCH("Leve",AP27)))</formula>
    </cfRule>
    <cfRule type="containsText" dxfId="71" priority="158" operator="containsText" text="Menor">
      <formula>NOT(ISERROR(SEARCH("Menor",AP27)))</formula>
    </cfRule>
    <cfRule type="containsText" dxfId="70" priority="160" operator="containsText" text="Mayor">
      <formula>NOT(ISERROR(SEARCH("Mayor",AP27)))</formula>
    </cfRule>
    <cfRule type="containsText" dxfId="69" priority="161" operator="containsText" text="Catastrófico">
      <formula>NOT(ISERROR(SEARCH("Catastrófico",AP27)))</formula>
    </cfRule>
  </conditionalFormatting>
  <conditionalFormatting sqref="AP18:AQ18">
    <cfRule type="containsText" dxfId="68" priority="369" operator="containsText" text="Moderado">
      <formula>NOT(ISERROR(SEARCH("Moderado",AP18)))</formula>
    </cfRule>
  </conditionalFormatting>
  <conditionalFormatting sqref="AP21:AQ21">
    <cfRule type="containsText" dxfId="67" priority="289" operator="containsText" text="Moderado">
      <formula>NOT(ISERROR(SEARCH("Moderado",AP21)))</formula>
    </cfRule>
  </conditionalFormatting>
  <conditionalFormatting sqref="AP24:AQ24">
    <cfRule type="containsText" dxfId="66" priority="237" operator="containsText" text="Moderado">
      <formula>NOT(ISERROR(SEARCH("Moderado",AP24)))</formula>
    </cfRule>
  </conditionalFormatting>
  <conditionalFormatting sqref="AP27:AQ27">
    <cfRule type="containsText" dxfId="65" priority="159" operator="containsText" text="Moderado">
      <formula>NOT(ISERROR(SEARCH("Moderado",AP27)))</formula>
    </cfRule>
  </conditionalFormatting>
  <conditionalFormatting sqref="AQ15 AQ18">
    <cfRule type="containsText" dxfId="64" priority="373" operator="containsText" text="Bajo">
      <formula>NOT(ISERROR(SEARCH("Bajo",AQ15)))</formula>
    </cfRule>
    <cfRule type="containsText" dxfId="63" priority="374" operator="containsText" text="Alto">
      <formula>NOT(ISERROR(SEARCH("Alto",AQ15)))</formula>
    </cfRule>
    <cfRule type="containsText" dxfId="62" priority="375" operator="containsText" text="Extremo">
      <formula>NOT(ISERROR(SEARCH("Extremo",AQ15)))</formula>
    </cfRule>
  </conditionalFormatting>
  <conditionalFormatting sqref="AQ15">
    <cfRule type="containsText" dxfId="61" priority="372" operator="containsText" text="Moderado">
      <formula>NOT(ISERROR(SEARCH("Moderado",AQ15)))</formula>
    </cfRule>
  </conditionalFormatting>
  <conditionalFormatting sqref="AQ21">
    <cfRule type="containsText" dxfId="60" priority="310" operator="containsText" text="Bajo">
      <formula>NOT(ISERROR(SEARCH("Bajo",AQ21)))</formula>
    </cfRule>
    <cfRule type="containsText" dxfId="59" priority="311" operator="containsText" text="Alto">
      <formula>NOT(ISERROR(SEARCH("Alto",AQ21)))</formula>
    </cfRule>
    <cfRule type="containsText" dxfId="58" priority="312" operator="containsText" text="Extremo">
      <formula>NOT(ISERROR(SEARCH("Extremo",AQ21)))</formula>
    </cfRule>
  </conditionalFormatting>
  <conditionalFormatting sqref="AQ24">
    <cfRule type="containsText" dxfId="57" priority="258" operator="containsText" text="Bajo">
      <formula>NOT(ISERROR(SEARCH("Bajo",AQ24)))</formula>
    </cfRule>
    <cfRule type="containsText" dxfId="56" priority="259" operator="containsText" text="Alto">
      <formula>NOT(ISERROR(SEARCH("Alto",AQ24)))</formula>
    </cfRule>
    <cfRule type="containsText" dxfId="55" priority="260" operator="containsText" text="Extremo">
      <formula>NOT(ISERROR(SEARCH("Extremo",AQ24)))</formula>
    </cfRule>
  </conditionalFormatting>
  <conditionalFormatting sqref="AQ27">
    <cfRule type="containsText" dxfId="54" priority="180" operator="containsText" text="Bajo">
      <formula>NOT(ISERROR(SEARCH("Bajo",AQ27)))</formula>
    </cfRule>
    <cfRule type="containsText" dxfId="53" priority="181" operator="containsText" text="Alto">
      <formula>NOT(ISERROR(SEARCH("Alto",AQ27)))</formula>
    </cfRule>
    <cfRule type="containsText" dxfId="52" priority="182" operator="containsText" text="Extremo">
      <formula>NOT(ISERROR(SEARCH("Extremo",AQ27)))</formula>
    </cfRule>
  </conditionalFormatting>
  <conditionalFormatting sqref="N30">
    <cfRule type="containsText" dxfId="51" priority="58" operator="containsText" text="Muy Baja">
      <formula>NOT(ISERROR(SEARCH("Muy Baja",N30)))</formula>
    </cfRule>
    <cfRule type="containsText" dxfId="50" priority="59" operator="containsText" text="Baja">
      <formula>NOT(ISERROR(SEARCH("Baja",N30)))</formula>
    </cfRule>
    <cfRule type="containsText" dxfId="49" priority="60" operator="containsText" text="Media">
      <formula>NOT(ISERROR(SEARCH("Media",N30)))</formula>
    </cfRule>
    <cfRule type="containsText" dxfId="48" priority="61" operator="containsText" text="Alta">
      <formula>NOT(ISERROR(SEARCH("Alta",N30)))</formula>
    </cfRule>
    <cfRule type="containsText" dxfId="47" priority="62" operator="containsText" text="Muy Alta">
      <formula>NOT(ISERROR(SEARCH("Muy Alta",N30)))</formula>
    </cfRule>
  </conditionalFormatting>
  <conditionalFormatting sqref="P30">
    <cfRule type="containsText" dxfId="46" priority="68" operator="containsText" text="Leve">
      <formula>NOT(ISERROR(SEARCH("Leve",P30)))</formula>
    </cfRule>
    <cfRule type="containsText" dxfId="45" priority="69" operator="containsText" text="Menor">
      <formula>NOT(ISERROR(SEARCH("Menor",P30)))</formula>
    </cfRule>
    <cfRule type="containsText" dxfId="44" priority="71" operator="containsText" text="Mayor">
      <formula>NOT(ISERROR(SEARCH("Mayor",P30)))</formula>
    </cfRule>
    <cfRule type="containsText" dxfId="43" priority="72" operator="containsText" text="Catastrófico">
      <formula>NOT(ISERROR(SEARCH("Catastrófico",P30)))</formula>
    </cfRule>
  </conditionalFormatting>
  <conditionalFormatting sqref="P30:Q30">
    <cfRule type="containsText" dxfId="42" priority="70" operator="containsText" text="Moderado">
      <formula>NOT(ISERROR(SEARCH("Moderado",P30)))</formula>
    </cfRule>
  </conditionalFormatting>
  <conditionalFormatting sqref="Q30">
    <cfRule type="containsText" dxfId="41" priority="73" operator="containsText" text="Bajo">
      <formula>NOT(ISERROR(SEARCH("Bajo",Q30)))</formula>
    </cfRule>
    <cfRule type="containsText" dxfId="40" priority="74" operator="containsText" text="Alto">
      <formula>NOT(ISERROR(SEARCH("Alto",Q30)))</formula>
    </cfRule>
    <cfRule type="containsText" dxfId="39" priority="75" operator="containsText" text="Extremo">
      <formula>NOT(ISERROR(SEARCH("Extremo",Q30)))</formula>
    </cfRule>
  </conditionalFormatting>
  <conditionalFormatting sqref="AM30 AN31">
    <cfRule type="containsText" dxfId="38" priority="63" operator="containsText" text="Muy Baja">
      <formula>NOT(ISERROR(SEARCH("Muy Baja",AM30)))</formula>
    </cfRule>
    <cfRule type="containsText" dxfId="37" priority="64" operator="containsText" text="Baja">
      <formula>NOT(ISERROR(SEARCH("Baja",AM30)))</formula>
    </cfRule>
    <cfRule type="containsText" dxfId="36" priority="65" operator="containsText" text="Media">
      <formula>NOT(ISERROR(SEARCH("Media",AM30)))</formula>
    </cfRule>
    <cfRule type="containsText" dxfId="35" priority="66" operator="containsText" text="Alta">
      <formula>NOT(ISERROR(SEARCH("Alta",AM30)))</formula>
    </cfRule>
    <cfRule type="containsText" dxfId="34" priority="67" operator="containsText" text="Muy Alta">
      <formula>NOT(ISERROR(SEARCH("Muy Alta",AM30)))</formula>
    </cfRule>
  </conditionalFormatting>
  <conditionalFormatting sqref="AP30">
    <cfRule type="containsText" dxfId="33" priority="53" operator="containsText" text="Leve">
      <formula>NOT(ISERROR(SEARCH("Leve",AP30)))</formula>
    </cfRule>
    <cfRule type="containsText" dxfId="32" priority="54" operator="containsText" text="Menor">
      <formula>NOT(ISERROR(SEARCH("Menor",AP30)))</formula>
    </cfRule>
    <cfRule type="containsText" dxfId="31" priority="56" operator="containsText" text="Mayor">
      <formula>NOT(ISERROR(SEARCH("Mayor",AP30)))</formula>
    </cfRule>
    <cfRule type="containsText" dxfId="30" priority="57" operator="containsText" text="Catastrófico">
      <formula>NOT(ISERROR(SEARCH("Catastrófico",AP30)))</formula>
    </cfRule>
  </conditionalFormatting>
  <conditionalFormatting sqref="AP30:AQ30">
    <cfRule type="containsText" dxfId="29" priority="55" operator="containsText" text="Moderado">
      <formula>NOT(ISERROR(SEARCH("Moderado",AP30)))</formula>
    </cfRule>
  </conditionalFormatting>
  <conditionalFormatting sqref="AQ30">
    <cfRule type="containsText" dxfId="28" priority="76" operator="containsText" text="Bajo">
      <formula>NOT(ISERROR(SEARCH("Bajo",AQ30)))</formula>
    </cfRule>
    <cfRule type="containsText" dxfId="27" priority="77" operator="containsText" text="Alto">
      <formula>NOT(ISERROR(SEARCH("Alto",AQ30)))</formula>
    </cfRule>
    <cfRule type="containsText" dxfId="26" priority="78" operator="containsText" text="Extremo">
      <formula>NOT(ISERROR(SEARCH("Extremo",AQ30)))</formula>
    </cfRule>
  </conditionalFormatting>
  <conditionalFormatting sqref="N33">
    <cfRule type="containsText" dxfId="25" priority="6" operator="containsText" text="Muy Baja">
      <formula>NOT(ISERROR(SEARCH("Muy Baja",N33)))</formula>
    </cfRule>
    <cfRule type="containsText" dxfId="24" priority="7" operator="containsText" text="Baja">
      <formula>NOT(ISERROR(SEARCH("Baja",N33)))</formula>
    </cfRule>
    <cfRule type="containsText" dxfId="23" priority="8" operator="containsText" text="Media">
      <formula>NOT(ISERROR(SEARCH("Media",N33)))</formula>
    </cfRule>
    <cfRule type="containsText" dxfId="22" priority="9" operator="containsText" text="Alta">
      <formula>NOT(ISERROR(SEARCH("Alta",N33)))</formula>
    </cfRule>
    <cfRule type="containsText" dxfId="21" priority="10" operator="containsText" text="Muy Alta">
      <formula>NOT(ISERROR(SEARCH("Muy Alta",N33)))</formula>
    </cfRule>
  </conditionalFormatting>
  <conditionalFormatting sqref="P33">
    <cfRule type="containsText" dxfId="20" priority="16" operator="containsText" text="Leve">
      <formula>NOT(ISERROR(SEARCH("Leve",P33)))</formula>
    </cfRule>
    <cfRule type="containsText" dxfId="19" priority="17" operator="containsText" text="Menor">
      <formula>NOT(ISERROR(SEARCH("Menor",P33)))</formula>
    </cfRule>
    <cfRule type="containsText" dxfId="18" priority="19" operator="containsText" text="Mayor">
      <formula>NOT(ISERROR(SEARCH("Mayor",P33)))</formula>
    </cfRule>
    <cfRule type="containsText" dxfId="17" priority="20" operator="containsText" text="Catastrófico">
      <formula>NOT(ISERROR(SEARCH("Catastrófico",P33)))</formula>
    </cfRule>
  </conditionalFormatting>
  <conditionalFormatting sqref="P33:Q33">
    <cfRule type="containsText" dxfId="16" priority="18" operator="containsText" text="Moderado">
      <formula>NOT(ISERROR(SEARCH("Moderado",P33)))</formula>
    </cfRule>
  </conditionalFormatting>
  <conditionalFormatting sqref="Q33">
    <cfRule type="containsText" dxfId="15" priority="21" operator="containsText" text="Bajo">
      <formula>NOT(ISERROR(SEARCH("Bajo",Q33)))</formula>
    </cfRule>
    <cfRule type="containsText" dxfId="14" priority="22" operator="containsText" text="Alto">
      <formula>NOT(ISERROR(SEARCH("Alto",Q33)))</formula>
    </cfRule>
    <cfRule type="containsText" dxfId="13" priority="23" operator="containsText" text="Extremo">
      <formula>NOT(ISERROR(SEARCH("Extremo",Q33)))</formula>
    </cfRule>
  </conditionalFormatting>
  <conditionalFormatting sqref="AM33 AN34">
    <cfRule type="containsText" dxfId="12" priority="11" operator="containsText" text="Muy Baja">
      <formula>NOT(ISERROR(SEARCH("Muy Baja",AM33)))</formula>
    </cfRule>
    <cfRule type="containsText" dxfId="11" priority="12" operator="containsText" text="Baja">
      <formula>NOT(ISERROR(SEARCH("Baja",AM33)))</formula>
    </cfRule>
    <cfRule type="containsText" dxfId="10" priority="13" operator="containsText" text="Media">
      <formula>NOT(ISERROR(SEARCH("Media",AM33)))</formula>
    </cfRule>
    <cfRule type="containsText" dxfId="9" priority="14" operator="containsText" text="Alta">
      <formula>NOT(ISERROR(SEARCH("Alta",AM33)))</formula>
    </cfRule>
    <cfRule type="containsText" dxfId="8" priority="15" operator="containsText" text="Muy Alta">
      <formula>NOT(ISERROR(SEARCH("Muy Alta",AM33)))</formula>
    </cfRule>
  </conditionalFormatting>
  <conditionalFormatting sqref="AP33">
    <cfRule type="containsText" dxfId="7" priority="1" operator="containsText" text="Leve">
      <formula>NOT(ISERROR(SEARCH("Leve",AP33)))</formula>
    </cfRule>
    <cfRule type="containsText" dxfId="6" priority="2" operator="containsText" text="Menor">
      <formula>NOT(ISERROR(SEARCH("Menor",AP33)))</formula>
    </cfRule>
    <cfRule type="containsText" dxfId="5" priority="4" operator="containsText" text="Mayor">
      <formula>NOT(ISERROR(SEARCH("Mayor",AP33)))</formula>
    </cfRule>
    <cfRule type="containsText" dxfId="4" priority="5" operator="containsText" text="Catastrófico">
      <formula>NOT(ISERROR(SEARCH("Catastrófico",AP33)))</formula>
    </cfRule>
  </conditionalFormatting>
  <conditionalFormatting sqref="AP33:AQ33">
    <cfRule type="containsText" dxfId="3" priority="3" operator="containsText" text="Moderado">
      <formula>NOT(ISERROR(SEARCH("Moderado",AP33)))</formula>
    </cfRule>
  </conditionalFormatting>
  <conditionalFormatting sqref="AQ33">
    <cfRule type="containsText" dxfId="2" priority="24" operator="containsText" text="Bajo">
      <formula>NOT(ISERROR(SEARCH("Bajo",AQ33)))</formula>
    </cfRule>
    <cfRule type="containsText" dxfId="1" priority="25" operator="containsText" text="Alto">
      <formula>NOT(ISERROR(SEARCH("Alto",AQ33)))</formula>
    </cfRule>
    <cfRule type="containsText" dxfId="0" priority="26" operator="containsText" text="Extremo">
      <formula>NOT(ISERROR(SEARCH("Extremo",AQ33)))</formula>
    </cfRule>
  </conditionalFormatting>
  <dataValidations count="16">
    <dataValidation type="list" allowBlank="1" showInputMessage="1" showErrorMessage="1" error="Seleccione un tipo de riesgo" sqref="I15:I17" xr:uid="{00000000-0002-0000-0000-000000000000}">
      <formula1>"Gestión,Corrupción,Seguridad de la Información,Ambiental,Seguridad y Salud en el Trabajo,Fiscal"</formula1>
    </dataValidation>
    <dataValidation type="list" allowBlank="1" showInputMessage="1" showErrorMessage="1" error="Seleccione un area de impacto" sqref="D15:D35" xr:uid="{00000000-0002-0000-0000-000001000000}">
      <formula1>"afectación económica,afectación reputacional,afectación económica y reputacional,efecto dañoso"</formula1>
    </dataValidation>
    <dataValidation type="list" allowBlank="1" showInputMessage="1" showErrorMessage="1" sqref="AE15:AE35" xr:uid="{00000000-0002-0000-0000-000002000000}">
      <formula1>"Documentado,Sin documentar"</formula1>
    </dataValidation>
    <dataValidation type="list" allowBlank="1" showInputMessage="1" showErrorMessage="1" sqref="AG15:AG35" xr:uid="{00000000-0002-0000-0000-000003000000}">
      <formula1>"Continua,Aleatoria"</formula1>
    </dataValidation>
    <dataValidation type="list" allowBlank="1" showInputMessage="1" showErrorMessage="1" sqref="AI15:AI35" xr:uid="{00000000-0002-0000-0000-000004000000}">
      <formula1>"Con registro,Sin registro"</formula1>
    </dataValidation>
    <dataValidation type="list" allowBlank="1" showInputMessage="1" showErrorMessage="1" sqref="AC15:AC35" xr:uid="{00000000-0002-0000-0000-000005000000}">
      <formula1>"Automático,Manual"</formula1>
    </dataValidation>
    <dataValidation type="list" allowBlank="1" showInputMessage="1" showErrorMessage="1" error="Seleccione un factor de riesgo" sqref="C15:C35" xr:uid="{00000000-0002-0000-0000-000006000000}">
      <formula1>"Procesos,Talento humano,Tecnología,Infraestructura,Evento externo"</formula1>
    </dataValidation>
    <dataValidation type="list" allowBlank="1" showInputMessage="1" showErrorMessage="1" error="Seleccione una clasificación del riesgo" sqref="J15:J35" xr:uid="{00000000-0002-0000-0000-000007000000}">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35" xr:uid="{00000000-0002-0000-0000-000008000000}">
      <formula1>"Máximo 2 veces,Entre 3 a 24 veces,Entre 24 a 500 veces,Entre 500 a 5000 veces,Mas de 5000 veces"</formula1>
    </dataValidation>
    <dataValidation type="list" allowBlank="1" showInputMessage="1" showErrorMessage="1" error="Seleccione una afectación económica y/o reputacional" sqref="L15:L35" xr:uid="{00000000-0002-0000-0000-000009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35" xr:uid="{00000000-0002-0000-0000-00000A000000}">
      <formula1>"Aceptar,Evitar,Compartir / Transferir,Reducir"</formula1>
    </dataValidation>
    <dataValidation type="list" allowBlank="1" showInputMessage="1" showErrorMessage="1" error="Seleccione si la posible afectación, cuenta con seguro o póliza" sqref="S15:S35" xr:uid="{00000000-0002-0000-0000-00000B000000}">
      <formula1>"Si,No"</formula1>
    </dataValidation>
    <dataValidation type="decimal" allowBlank="1" showInputMessage="1" showErrorMessage="1" error="Digite el porcentaje de la cobertura del seguro o póliza" sqref="T15:T35" xr:uid="{00000000-0002-0000-0000-00000C000000}">
      <formula1>0</formula1>
      <formula2>1</formula2>
    </dataValidation>
    <dataValidation type="list" allowBlank="1" showInputMessage="1" showErrorMessage="1" error="Seleccione el tipo de control" sqref="AA15:AA35" xr:uid="{00000000-0002-0000-0000-00000D000000}">
      <formula1>"Preventivo,Detectivo,Correctivo"</formula1>
    </dataValidation>
    <dataValidation type="list" allowBlank="1" showInputMessage="1" showErrorMessage="1" error="Seleccione el estado del plan de tratamiento" sqref="AZ15:AZ35" xr:uid="{00000000-0002-0000-0000-00000E000000}">
      <formula1>"En implementación,En ejecución,En seguimiento,Terminado"</formula1>
    </dataValidation>
    <dataValidation type="list" allowBlank="1" showInputMessage="1" showErrorMessage="1" error="Seleccione un tipo de riesgo" sqref="I18:I35" xr:uid="{00000000-0002-0000-0000-00000F000000}">
      <formula1>"Gestión,Corrupción,Seguridad de la Información,Ambiental,Laboral,Fiscal"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2025-06-16T16:48:53Z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2024-02-05T21:13:13Z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910d1dc5-af96-4355-bfaa-78052a61fab1</vt:lpwstr>
  </property>
  <property fmtid="{D5CDD505-2E9C-101B-9397-08002B2CF9AE}" pid="7" name="MSIP_Label_defa4170-0d19-0005-0004-bc88714345d2_ActionId">
    <vt:lpwstr>7d128256-0fcd-4412-a3b6-058703ae5861</vt:lpwstr>
  </property>
  <property fmtid="{D5CDD505-2E9C-101B-9397-08002B2CF9AE}" pid="8" name="MSIP_Label_defa4170-0d19-0005-0004-bc88714345d2_ContentBits">
    <vt:lpwstr>0</vt:lpwstr>
  </property>
</Properties>
</file>