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D661CFEB-4939-4F93-BCC3-246BC69397F0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Hoja1!$A$12:$BC$23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1" l="1"/>
  <c r="Y20" i="1"/>
  <c r="G18" i="1"/>
  <c r="G15" i="1"/>
  <c r="AB22" i="1"/>
  <c r="Y22" i="1"/>
  <c r="G21" i="1"/>
  <c r="Y21" i="1"/>
  <c r="AB19" i="1"/>
  <c r="Y19" i="1"/>
  <c r="Y17" i="1"/>
  <c r="AB15" i="1"/>
  <c r="AB16" i="1"/>
  <c r="AB17" i="1"/>
  <c r="AB18" i="1"/>
  <c r="AB20" i="1"/>
  <c r="AB21" i="1"/>
  <c r="AB23" i="1"/>
  <c r="AJ23" i="1"/>
  <c r="AH23" i="1"/>
  <c r="AF23" i="1"/>
  <c r="AD23" i="1"/>
  <c r="AJ22" i="1"/>
  <c r="AH22" i="1"/>
  <c r="AF22" i="1"/>
  <c r="AD22" i="1"/>
  <c r="AJ21" i="1"/>
  <c r="AH21" i="1"/>
  <c r="AF21" i="1"/>
  <c r="AD21" i="1"/>
  <c r="P21" i="1"/>
  <c r="O21" i="1"/>
  <c r="AN21" i="1" s="1"/>
  <c r="AN22" i="1" s="1"/>
  <c r="M21" i="1"/>
  <c r="O15" i="1"/>
  <c r="N21" i="1" l="1"/>
  <c r="Q21" i="1" s="1"/>
  <c r="AK21" i="1"/>
  <c r="AK22" i="1" s="1"/>
  <c r="AO21" i="1"/>
  <c r="AP21" i="1" s="1"/>
  <c r="AD15" i="1"/>
  <c r="Y15" i="1"/>
  <c r="AJ15" i="1"/>
  <c r="M15" i="1"/>
  <c r="AL21" i="1" l="1"/>
  <c r="AM21" i="1" s="1"/>
  <c r="AQ21" i="1" s="1"/>
  <c r="AJ20" i="1" l="1"/>
  <c r="AH20" i="1"/>
  <c r="AF20" i="1"/>
  <c r="AD20" i="1"/>
  <c r="AJ19" i="1"/>
  <c r="AH19" i="1"/>
  <c r="AF19" i="1"/>
  <c r="AD19" i="1"/>
  <c r="AJ18" i="1"/>
  <c r="AH18" i="1"/>
  <c r="AF18" i="1"/>
  <c r="AD18" i="1"/>
  <c r="P18" i="1"/>
  <c r="O18" i="1"/>
  <c r="AN18" i="1" s="1"/>
  <c r="AN19" i="1" s="1"/>
  <c r="M18" i="1"/>
  <c r="AO18" i="1" l="1"/>
  <c r="AP18" i="1" s="1"/>
  <c r="AK18" i="1"/>
  <c r="N18" i="1"/>
  <c r="Q18" i="1" s="1"/>
  <c r="AK19" i="1" l="1"/>
  <c r="AL18" i="1" l="1"/>
  <c r="AJ17" i="1"/>
  <c r="AH17" i="1"/>
  <c r="AF17" i="1"/>
  <c r="AD17" i="1"/>
  <c r="AJ16" i="1"/>
  <c r="AH16" i="1"/>
  <c r="AF16" i="1"/>
  <c r="AD16" i="1"/>
  <c r="AH15" i="1"/>
  <c r="AF15" i="1"/>
  <c r="AK15" i="1" s="1"/>
  <c r="Y16" i="1"/>
  <c r="P15" i="1"/>
  <c r="AN15" i="1"/>
  <c r="N15" i="1"/>
  <c r="AK16" i="1" l="1"/>
  <c r="AL15" i="1" s="1"/>
  <c r="AN16" i="1"/>
  <c r="AO15" i="1" s="1"/>
  <c r="AM18" i="1"/>
  <c r="AQ18" i="1" s="1"/>
  <c r="Q15" i="1"/>
  <c r="AP15" i="1" l="1"/>
  <c r="AM15" i="1" l="1"/>
  <c r="AQ15" i="1" s="1"/>
</calcChain>
</file>

<file path=xl/sharedStrings.xml><?xml version="1.0" encoding="utf-8"?>
<sst xmlns="http://schemas.openxmlformats.org/spreadsheetml/2006/main" count="221" uniqueCount="155">
  <si>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</si>
  <si>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</si>
  <si>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</si>
  <si>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</si>
  <si>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</si>
  <si>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</si>
  <si>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</si>
  <si>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</si>
  <si>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</si>
  <si>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</si>
  <si>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</si>
  <si>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</si>
  <si>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</si>
  <si>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</si>
  <si>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</si>
  <si>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</si>
  <si>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</si>
  <si>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</si>
  <si>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</si>
  <si>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</si>
  <si>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</si>
  <si>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</si>
  <si>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</si>
  <si>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</si>
  <si>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</si>
  <si>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</si>
  <si>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</si>
  <si>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</si>
  <si>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</si>
  <si>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</si>
  <si>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</si>
  <si>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</si>
  <si>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</si>
  <si>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</si>
  <si>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</si>
  <si>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</si>
  <si>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</si>
  <si>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</si>
  <si>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</si>
  <si>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</si>
  <si>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</si>
  <si>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</si>
  <si>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</si>
  <si>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</si>
  <si>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</si>
  <si>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</si>
  <si>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</si>
  <si>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</si>
  <si>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</si>
  <si>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</si>
  <si>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</si>
  <si>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</si>
  <si>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</si>
  <si>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</si>
  <si>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</si>
  <si>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</si>
  <si>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</si>
  <si>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</si>
  <si>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</si>
  <si>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</si>
  <si>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</si>
  <si>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</si>
  <si>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</si>
  <si>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</si>
  <si>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</si>
  <si>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afectación económica y reputacional</t>
  </si>
  <si>
    <t>Manual</t>
  </si>
  <si>
    <t>Continua</t>
  </si>
  <si>
    <t>Reducir</t>
  </si>
  <si>
    <t>Sin documentar</t>
  </si>
  <si>
    <t>No</t>
  </si>
  <si>
    <t>Gestión</t>
  </si>
  <si>
    <t>Ejecución y administración de procesos</t>
  </si>
  <si>
    <t>Entre 3 a 24 veces</t>
  </si>
  <si>
    <t>Entre 100 y 500 SMLMV o fectación a nivel municipal/departamental</t>
  </si>
  <si>
    <t>No.solicitudes  analizadas / No.solicitudes  recibidas*100</t>
  </si>
  <si>
    <t>Procesos</t>
  </si>
  <si>
    <t>Usuarios, productos y prácticas</t>
  </si>
  <si>
    <t>Entre 24 a 500 veces</t>
  </si>
  <si>
    <t>Entre 50 y 100 SMLMV o afectación con algunos usuarios</t>
  </si>
  <si>
    <t>Preventivo</t>
  </si>
  <si>
    <t>Realizar las actividades asociadas con la identificación y caracterización de clientes potenciales de los productos y servicios financieros que ofrece el Instituto (Créditos de Fomento, Créditos de Tesorería, Operaciones de manejo de deuda pública, Administración de fondos especiales y Línea de Microcréditos), así como el análisis y la evaluación financiera de las solicitudes de acceso a dichos servicios, de acuerdo con los criterios cualitativos y cuantitativos definidos en el marco normativo vigente.</t>
  </si>
  <si>
    <t xml:space="preserve"> PROFESIONAL UNIVERSITARIO 219-04 GRUPO DE OTORGAMIENTO - DIRECCIÓN DE FINANCIAMIENTO, PROMOCIÓN Y 
DESARROLLO EMPRESARIAL</t>
  </si>
  <si>
    <t>Implementar el sistema de administración del riesgo crediticio -  procedimiento de otorgamiento</t>
  </si>
  <si>
    <t>Planeación de las actividades del proceso</t>
  </si>
  <si>
    <t>R3</t>
  </si>
  <si>
    <t>Evento externo</t>
  </si>
  <si>
    <t xml:space="preserve">Conservación y fidelización de clientes </t>
  </si>
  <si>
    <t xml:space="preserve">pérdida de clientes y potenciales clientes </t>
  </si>
  <si>
    <t>Profesional universitario 219-04 grupo de otorgamiento - dirección de financiamiento, promoción y desarrollo empresarial</t>
  </si>
  <si>
    <t xml:space="preserve"> implementará check list por líneas de crédito, anexos en el Manual SARC </t>
  </si>
  <si>
    <t xml:space="preserve">Profesional universitario 219-04 grupo de otorgamiento - dirección de financiamiento, promoción y desarrollo empresarial, en coordinación con la oficina de gestión del riesgo </t>
  </si>
  <si>
    <t xml:space="preserve"> verificará  la información aportada por los clientes a través de las Centrales de Riesgo, CHIP, páginas web de las entidades, etc. </t>
  </si>
  <si>
    <t>* consulta registradas 
*certificados expedidos 
* comunicaciones internas y externas.</t>
  </si>
  <si>
    <t>Detectivo</t>
  </si>
  <si>
    <t>Documentado</t>
  </si>
  <si>
    <t>Con registro</t>
  </si>
  <si>
    <t xml:space="preserve">humanos,
tecnológicos 
</t>
  </si>
  <si>
    <t xml:space="preserve">humanos,
tecnológicos
logísticos 
económicos  
</t>
  </si>
  <si>
    <t>La Alta Gerencia en conjunto con el Profesional universitario 219-04 grupo de otorgamiento - dirección de financiamiento, promoción y desarrollo empresarial</t>
  </si>
  <si>
    <t xml:space="preserve">con el fin de entender los retos a los que se enfentan los Infis del país </t>
  </si>
  <si>
    <t xml:space="preserve">* Calificación de riesgos financieros 
* Check list superintendencia financiera 
* Comunicaciones internas y externas </t>
  </si>
  <si>
    <t xml:space="preserve">* Nuevas unidades de negocio 
* Ampliación de portafolios de servicios 
*Administración y ejecución de proyectos 
*Alianzas estratégicas para la competitividad. </t>
  </si>
  <si>
    <t xml:space="preserve">endurecimiento de requisitos normativos a niveles territoriales y nacional. </t>
  </si>
  <si>
    <t xml:space="preserve">Profesional Universitario Codigo 219-04 - G. Operaciones de financiamiento </t>
  </si>
  <si>
    <t xml:space="preserve">Se promoverá la calificación de riesgo financiero de la entidad y gestionará el cumplimiento de requisitos para alcanzar la vigilancia de la Superintendencia financiera de colombia </t>
  </si>
  <si>
    <t xml:space="preserve">Identificación y caracterización de potenciales clientes con requisitos adecuados a las capacidades de la entidad , con el fin de extender la oferta del portafolio de servicios de la entidad </t>
  </si>
  <si>
    <t xml:space="preserve">* Base de datos 
* Comunicaciones internas y externas </t>
  </si>
  <si>
    <t xml:space="preserve">Actualización de la matriz de aspectos legales </t>
  </si>
  <si>
    <t xml:space="preserve">con el fin de establecer nuevas disposiciones que impacten a la entidad </t>
  </si>
  <si>
    <t xml:space="preserve">matriz de aspectos legales </t>
  </si>
  <si>
    <t xml:space="preserve">Realizar la identificación y caracterización de potenciales  clientes en actividades y/o servicios diferentes a aquellos que requieren vigiancia de la Superfinanciera. </t>
  </si>
  <si>
    <t xml:space="preserve">*  Base de datos 
* Comunicaciones internas y externas </t>
  </si>
  <si>
    <t xml:space="preserve">Alta Geencia , Direcor de financiamiento , Profesional Universitario Codigo 219-04 - G. Operaciones de financiamiento </t>
  </si>
  <si>
    <t xml:space="preserve">La profesional universitaria 219-04 grupo de otorgamiento - dirección de financiamiento, promoción y desarrollo empresarial </t>
  </si>
  <si>
    <t xml:space="preserve">Promoverá la afiliación  en ASOINFIS para apoyar las estrategias de fortalecimiento de la banca pública y el contexto normativo actualizados </t>
  </si>
  <si>
    <t xml:space="preserve">GESTIÓN DE OPERACIONES FINANCIERAS </t>
  </si>
  <si>
    <t>Imprecisión en el análisis financiero de las solicitudes  de crédito</t>
  </si>
  <si>
    <t>Talento humano</t>
  </si>
  <si>
    <t>información incompleta o errónea, documentos incompletos, alteración de documentos</t>
  </si>
  <si>
    <t xml:space="preserve">* Seguridad de la información, certeza del procesos y procedimientos. 
* Socio aliado de las entidades estatales a nivel regional.
* Mejora continua (actualización y ajuste de procedimientos- formatos, manuales) </t>
  </si>
  <si>
    <t xml:space="preserve">donde se establecen los  indicadores financieros para revisar o analizar.  Comité de crédito
Junta directiva. </t>
  </si>
  <si>
    <t xml:space="preserve">* check list por linea de credito
* actas de junta directiva y comités de crédito </t>
  </si>
  <si>
    <t xml:space="preserve">Verificar que la documentación entregada esté completa y cumpla con lo exigido por la política interna y además. 
Que la solicitud del cliente sea clara y esté aprobada por la persona o área competente. </t>
  </si>
  <si>
    <t xml:space="preserve">*Documentacion verificada
* Expedientes de créditos </t>
  </si>
  <si>
    <t>En seguimiento</t>
  </si>
  <si>
    <t>En implementación</t>
  </si>
  <si>
    <t xml:space="preserve">Envío de solicitud de analisis y expedición de conceptos a las oficinas de gestión de riesgos y secretaría general, sobre las respectivas solicitudes de créditos. </t>
  </si>
  <si>
    <t xml:space="preserve">humanos, 
tecnológicos </t>
  </si>
  <si>
    <t xml:space="preserve">* Comunicaciones internas 
* Correo electrónicos </t>
  </si>
  <si>
    <t xml:space="preserve">Profesional Universitario Codigo 219-04 - G. Operaciones de financiamiento  / Secretaría General / Oficina gestión integral de riesgos </t>
  </si>
  <si>
    <t xml:space="preserve">Imposibilidad de oferta de créditos </t>
  </si>
  <si>
    <t xml:space="preserve"> Falta de recursos propios (compromisos contractuales y/o financieros) y/o  Falta de apoyo por parte del Gobierno Nacional, departamental y municipal a la banca pública
y/o decisiones politicas.
</t>
  </si>
  <si>
    <t xml:space="preserve">* Actividades masivas de publicidad y promoción del portafolio de Productos y servicios y visitas presenciales
* Apertura de nuevos mercados y líneas de negocio.
* Inversiones en proyectos de desarrollo y aliado estratégico regional  
</t>
  </si>
  <si>
    <t xml:space="preserve">solicitará a la alta gerencia la gestión presupuestal  para contar con la disponibilidad de recursos financieros internos </t>
  </si>
  <si>
    <t>con el fin de apalancar la banca.</t>
  </si>
  <si>
    <t xml:space="preserve">, para apoyar las estrategias de fortalecimiento de la banca pública. </t>
  </si>
  <si>
    <t xml:space="preserve">solicitud a la alta gerencia la gestión de recursos de fuentes aliadas (públicas y/o privadas) </t>
  </si>
  <si>
    <t xml:space="preserve">con el fin de contar con disponibilidad de recursos en la banca para la oferta de créditos </t>
  </si>
  <si>
    <t xml:space="preserve">
*Correos electrónicos.
* Plan de acción
* Comunicaciones internas </t>
  </si>
  <si>
    <t xml:space="preserve">promoverán la afiliación  en ASOINFIS
</t>
  </si>
  <si>
    <t>* Resoluciones
* Comunicaciones internas y externas 
* asistencia a ASOINFIS</t>
  </si>
  <si>
    <t>* comunicaciones internas 
* plan de acción</t>
  </si>
  <si>
    <t xml:space="preserve">Solicitudes a la alcaldía de recursos para el fortalecimiento a la banca pública </t>
  </si>
  <si>
    <t xml:space="preserve">Gestion con el gobierno nacional para la incorporación de recursos para la banca </t>
  </si>
  <si>
    <t xml:space="preserve">*comunicaciones externas 
* visitas a entidades del gobierno nacional </t>
  </si>
  <si>
    <t>* comunicaciones externas 
* mesas de trabajo</t>
  </si>
  <si>
    <t xml:space="preserve">Alta gerencia,  Profesional universitario código 219 02 G. operaciones de financiamiento </t>
  </si>
  <si>
    <t xml:space="preserve">Fomentar la austeridad en el gasto y la administración eficiente de recursos con el fin de destinar la mayor cantidad posible de recursos a la banca </t>
  </si>
  <si>
    <t>* comunicaciones internas 
* correos electrónicos 
* plan de acciones
* resoluciones ppto (traslados)</t>
  </si>
  <si>
    <t xml:space="preserve">* Resoluciones
* Comunicaciones internas y externas 
* Matriz de aspectos legales actualizada 
*Asistencia a ASOINFIS  </t>
  </si>
  <si>
    <t xml:space="preserve"> Desarrollar la gestión de $3,000,000,000 de ingresos a la banca</t>
  </si>
  <si>
    <t>En ejecución</t>
  </si>
  <si>
    <t>enero a diciembre de 2025</t>
  </si>
  <si>
    <t xml:space="preserve">1 Calificación actualizada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</si>
</sst>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3" borderId="0" xfId="0" applyFill="1"/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1" fillId="0" borderId="0" xfId="0" applyFont="1"/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  <protection hidden="1"/>
    </xf>
    <xf numFmtId="9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  <protection locked="0"/>
    </xf>
    <xf numFmtId="9" fontId="6" fillId="5" borderId="8" xfId="1" applyFont="1" applyFill="1" applyBorder="1" applyAlignment="1" applyProtection="1">
      <alignment horizontal="center" vertical="center" wrapText="1"/>
      <protection hidden="1"/>
    </xf>
    <xf numFmtId="9" fontId="6" fillId="5" borderId="8" xfId="1" applyFont="1" applyFill="1" applyBorder="1" applyAlignment="1" applyProtection="1">
      <alignment horizontal="center" vertical="center" wrapText="1"/>
      <protection locked="0"/>
    </xf>
    <xf numFmtId="9" fontId="6" fillId="5" borderId="8" xfId="1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quotePrefix="1" applyFont="1" applyBorder="1" applyAlignment="1" applyProtection="1">
      <alignment horizontal="center" vertical="center" wrapText="1"/>
      <protection locked="0"/>
    </xf>
    <xf numFmtId="17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5" xfId="0" quotePrefix="1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6" fillId="0" borderId="19" xfId="0" applyNumberFormat="1" applyFont="1" applyBorder="1" applyAlignment="1" applyProtection="1">
      <alignment horizontal="center" vertical="center" wrapText="1"/>
      <protection locked="0"/>
    </xf>
    <xf numFmtId="17" fontId="6" fillId="0" borderId="3" xfId="0" applyNumberFormat="1" applyFont="1" applyBorder="1" applyAlignment="1" applyProtection="1">
      <alignment horizontal="center" vertical="center" wrapText="1"/>
      <protection locked="0"/>
    </xf>
    <xf numFmtId="17" fontId="6" fillId="0" borderId="22" xfId="0" applyNumberFormat="1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0" fillId="6" borderId="23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9" fontId="6" fillId="0" borderId="5" xfId="1" applyFont="1" applyBorder="1" applyAlignment="1" applyProtection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9" fontId="6" fillId="0" borderId="8" xfId="1" applyFont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9" fontId="6" fillId="5" borderId="5" xfId="1" applyFont="1" applyFill="1" applyBorder="1" applyAlignment="1" applyProtection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9" fontId="6" fillId="5" borderId="8" xfId="1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5" xfId="0" quotePrefix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9" fontId="6" fillId="0" borderId="8" xfId="1" applyFont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9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7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194509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3"/>
  <sheetViews>
    <sheetView tabSelected="1" view="pageBreakPreview" topLeftCell="AS1" zoomScale="90" zoomScaleNormal="60" zoomScaleSheetLayoutView="90" workbookViewId="0">
      <selection activeCell="BC15" sqref="BC15:BC17"/>
    </sheetView>
  </sheetViews>
  <sheetFormatPr baseColWidth="10" defaultColWidth="10.85546875" defaultRowHeight="14.25" x14ac:dyDescent="0.2"/>
  <cols>
    <col min="1" max="1" width="10.85546875" style="1" customWidth="1"/>
    <col min="2" max="2" width="20.42578125" style="1" customWidth="1"/>
    <col min="3" max="3" width="16.28515625" style="1" customWidth="1"/>
    <col min="4" max="4" width="16.140625" style="1" customWidth="1"/>
    <col min="5" max="5" width="38" style="1" customWidth="1"/>
    <col min="6" max="6" width="45.42578125" style="1" customWidth="1"/>
    <col min="7" max="7" width="67.42578125" style="1" customWidth="1"/>
    <col min="8" max="8" width="30" style="1" customWidth="1"/>
    <col min="9" max="9" width="14.85546875" style="1" customWidth="1"/>
    <col min="10" max="10" width="17.7109375" style="1" customWidth="1"/>
    <col min="11" max="11" width="15.7109375" style="1" customWidth="1"/>
    <col min="12" max="12" width="16.7109375" style="1" customWidth="1"/>
    <col min="13" max="16" width="8.42578125" style="1" customWidth="1"/>
    <col min="17" max="17" width="11.28515625" style="1" customWidth="1"/>
    <col min="18" max="19" width="12.42578125" style="1" customWidth="1"/>
    <col min="20" max="20" width="13.28515625" style="1" customWidth="1"/>
    <col min="21" max="21" width="10.85546875" style="1" customWidth="1"/>
    <col min="22" max="22" width="37.28515625" style="1" customWidth="1"/>
    <col min="23" max="23" width="46.140625" style="1" customWidth="1"/>
    <col min="24" max="24" width="37.42578125" style="1" customWidth="1"/>
    <col min="25" max="25" width="53.28515625" style="1" customWidth="1"/>
    <col min="26" max="26" width="29.28515625" style="1" customWidth="1"/>
    <col min="27" max="35" width="9.42578125" style="1" customWidth="1"/>
    <col min="36" max="36" width="5.140625" style="1" customWidth="1"/>
    <col min="37" max="37" width="10.85546875" style="1" customWidth="1"/>
    <col min="38" max="38" width="11.140625" style="1" customWidth="1"/>
    <col min="39" max="39" width="10.85546875" style="1"/>
    <col min="40" max="40" width="10.85546875" style="1" customWidth="1"/>
    <col min="41" max="41" width="11.140625" style="1" customWidth="1"/>
    <col min="42" max="42" width="12.7109375" style="1" customWidth="1"/>
    <col min="43" max="43" width="20.42578125" style="1" customWidth="1"/>
    <col min="44" max="44" width="19.85546875" style="1" customWidth="1"/>
    <col min="45" max="45" width="14.28515625" style="1" customWidth="1"/>
    <col min="46" max="46" width="10.85546875" style="1" customWidth="1"/>
    <col min="47" max="47" width="38.28515625" style="1" customWidth="1"/>
    <col min="48" max="48" width="21" style="1" customWidth="1"/>
    <col min="49" max="49" width="21.140625" style="1" customWidth="1"/>
    <col min="50" max="50" width="30.28515625" style="1" customWidth="1"/>
    <col min="51" max="51" width="25" style="1" customWidth="1"/>
    <col min="52" max="52" width="19.85546875" style="1" customWidth="1"/>
    <col min="53" max="53" width="20.42578125" style="1" customWidth="1"/>
    <col min="54" max="54" width="16.28515625" style="1" bestFit="1" customWidth="1"/>
    <col min="55" max="55" width="47.42578125" style="1" customWidth="1"/>
    <col min="56" max="16384" width="10.85546875" style="1"/>
  </cols>
  <sheetData>
    <row r="1" spans="1:55" customFormat="1" ht="31.5" customHeight="1" x14ac:dyDescent="0.25">
      <c r="A1" s="58"/>
      <c r="B1" s="58"/>
      <c r="C1" s="58"/>
      <c r="D1" s="58"/>
      <c r="E1" s="87" t="s">
        <v>0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9"/>
      <c r="BC1" s="42" t="s">
        <v>1</v>
      </c>
    </row>
    <row r="2" spans="1:55" customFormat="1" ht="31.5" customHeight="1" x14ac:dyDescent="0.25">
      <c r="A2" s="58"/>
      <c r="B2" s="58"/>
      <c r="C2" s="58"/>
      <c r="D2" s="58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2"/>
      <c r="BC2" s="43" t="s">
        <v>4</v>
      </c>
    </row>
    <row r="3" spans="1:55" customFormat="1" ht="31.5" customHeight="1" x14ac:dyDescent="0.25">
      <c r="A3" s="58"/>
      <c r="B3" s="58"/>
      <c r="C3" s="58"/>
      <c r="D3" s="58"/>
      <c r="E3" s="93" t="s">
        <v>2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5"/>
      <c r="BC3" s="44" t="s">
        <v>64</v>
      </c>
    </row>
    <row r="4" spans="1:55" customFormat="1" ht="31.5" customHeight="1" x14ac:dyDescent="0.25">
      <c r="A4" s="58"/>
      <c r="B4" s="58"/>
      <c r="C4" s="58"/>
      <c r="D4" s="58"/>
      <c r="E4" s="96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8"/>
      <c r="BC4" s="43" t="s">
        <v>3</v>
      </c>
    </row>
    <row r="5" spans="1:55" s="4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23.1" customHeight="1" x14ac:dyDescent="0.2">
      <c r="A6" s="117" t="s">
        <v>16</v>
      </c>
      <c r="B6" s="117"/>
      <c r="C6" s="117"/>
      <c r="D6" s="105" t="s">
        <v>116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5" customFormat="1" ht="9.6" customHeight="1" x14ac:dyDescent="0.35">
      <c r="B7" s="6"/>
      <c r="C7" s="6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ht="43.5" customHeight="1" x14ac:dyDescent="0.2">
      <c r="A8" s="117" t="s">
        <v>17</v>
      </c>
      <c r="B8" s="117"/>
      <c r="C8" s="117"/>
      <c r="D8" s="105" t="s">
        <v>81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5" customFormat="1" ht="9.6" customHeight="1" x14ac:dyDescent="0.35">
      <c r="B9" s="6"/>
      <c r="C9" s="6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26.1" customHeight="1" x14ac:dyDescent="0.2">
      <c r="A10" s="117" t="s">
        <v>47</v>
      </c>
      <c r="B10" s="117"/>
      <c r="C10" s="117"/>
      <c r="D10" s="105" t="s">
        <v>82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5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s="8" customFormat="1" ht="18.75" thickBot="1" x14ac:dyDescent="0.3">
      <c r="A12" s="70" t="s">
        <v>53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  <c r="R12" s="78" t="s">
        <v>55</v>
      </c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80"/>
      <c r="BA12" s="109" t="s">
        <v>57</v>
      </c>
      <c r="BB12" s="110"/>
      <c r="BC12" s="111"/>
    </row>
    <row r="13" spans="1:55" s="17" customFormat="1" ht="42" customHeight="1" x14ac:dyDescent="0.25">
      <c r="A13" s="112" t="s">
        <v>19</v>
      </c>
      <c r="B13" s="113"/>
      <c r="C13" s="113"/>
      <c r="D13" s="113"/>
      <c r="E13" s="113"/>
      <c r="F13" s="113"/>
      <c r="G13" s="114"/>
      <c r="H13" s="112" t="s">
        <v>54</v>
      </c>
      <c r="I13" s="113"/>
      <c r="J13" s="113"/>
      <c r="K13" s="113"/>
      <c r="L13" s="114"/>
      <c r="M13" s="112" t="s">
        <v>28</v>
      </c>
      <c r="N13" s="113"/>
      <c r="O13" s="113"/>
      <c r="P13" s="113"/>
      <c r="Q13" s="114"/>
      <c r="R13" s="112" t="s">
        <v>56</v>
      </c>
      <c r="S13" s="113"/>
      <c r="T13" s="114"/>
      <c r="U13" s="112" t="s">
        <v>51</v>
      </c>
      <c r="V13" s="113"/>
      <c r="W13" s="113"/>
      <c r="X13" s="113"/>
      <c r="Y13" s="113"/>
      <c r="Z13" s="114"/>
      <c r="AA13" s="73" t="s">
        <v>32</v>
      </c>
      <c r="AB13" s="74"/>
      <c r="AC13" s="74"/>
      <c r="AD13" s="75"/>
      <c r="AE13" s="73" t="s">
        <v>33</v>
      </c>
      <c r="AF13" s="74"/>
      <c r="AG13" s="74"/>
      <c r="AH13" s="74"/>
      <c r="AI13" s="74"/>
      <c r="AJ13" s="75"/>
      <c r="AK13" s="112" t="s">
        <v>50</v>
      </c>
      <c r="AL13" s="113"/>
      <c r="AM13" s="113"/>
      <c r="AN13" s="113"/>
      <c r="AO13" s="113"/>
      <c r="AP13" s="113"/>
      <c r="AQ13" s="114"/>
      <c r="AR13" s="73" t="s">
        <v>37</v>
      </c>
      <c r="AS13" s="75"/>
      <c r="AT13" s="73" t="s">
        <v>49</v>
      </c>
      <c r="AU13" s="74"/>
      <c r="AV13" s="74"/>
      <c r="AW13" s="74"/>
      <c r="AX13" s="74"/>
      <c r="AY13" s="74"/>
      <c r="AZ13" s="75"/>
      <c r="BA13" s="121" t="s">
        <v>10</v>
      </c>
      <c r="BB13" s="62" t="s">
        <v>41</v>
      </c>
      <c r="BC13" s="62" t="s">
        <v>40</v>
      </c>
    </row>
    <row r="14" spans="1:55" customFormat="1" ht="79.5" customHeight="1" thickBot="1" x14ac:dyDescent="0.3">
      <c r="A14" s="9" t="s">
        <v>35</v>
      </c>
      <c r="B14" s="10" t="s">
        <v>20</v>
      </c>
      <c r="C14" s="10" t="s">
        <v>8</v>
      </c>
      <c r="D14" s="10" t="s">
        <v>7</v>
      </c>
      <c r="E14" s="10" t="s">
        <v>63</v>
      </c>
      <c r="F14" s="10" t="s">
        <v>6</v>
      </c>
      <c r="G14" s="11" t="s">
        <v>5</v>
      </c>
      <c r="H14" s="12" t="s">
        <v>62</v>
      </c>
      <c r="I14" s="10" t="s">
        <v>59</v>
      </c>
      <c r="J14" s="10" t="s">
        <v>9</v>
      </c>
      <c r="K14" s="10" t="s">
        <v>24</v>
      </c>
      <c r="L14" s="11" t="s">
        <v>60</v>
      </c>
      <c r="M14" s="76" t="s">
        <v>23</v>
      </c>
      <c r="N14" s="77"/>
      <c r="O14" s="77" t="s">
        <v>22</v>
      </c>
      <c r="P14" s="77"/>
      <c r="Q14" s="11" t="s">
        <v>21</v>
      </c>
      <c r="R14" s="12" t="s">
        <v>52</v>
      </c>
      <c r="S14" s="10" t="s">
        <v>61</v>
      </c>
      <c r="T14" s="11" t="s">
        <v>36</v>
      </c>
      <c r="U14" s="9" t="s">
        <v>18</v>
      </c>
      <c r="V14" s="10" t="s">
        <v>10</v>
      </c>
      <c r="W14" s="10" t="s">
        <v>42</v>
      </c>
      <c r="X14" s="10" t="s">
        <v>43</v>
      </c>
      <c r="Y14" s="10" t="s">
        <v>44</v>
      </c>
      <c r="Z14" s="11" t="s">
        <v>45</v>
      </c>
      <c r="AA14" s="9" t="s">
        <v>25</v>
      </c>
      <c r="AB14" s="14"/>
      <c r="AC14" s="13" t="s">
        <v>12</v>
      </c>
      <c r="AD14" s="15"/>
      <c r="AE14" s="9" t="s">
        <v>13</v>
      </c>
      <c r="AF14" s="14"/>
      <c r="AG14" s="13" t="s">
        <v>14</v>
      </c>
      <c r="AH14" s="14"/>
      <c r="AI14" s="13" t="s">
        <v>15</v>
      </c>
      <c r="AJ14" s="16"/>
      <c r="AK14" s="12"/>
      <c r="AL14" s="77" t="s">
        <v>29</v>
      </c>
      <c r="AM14" s="77"/>
      <c r="AN14" s="10"/>
      <c r="AO14" s="77" t="s">
        <v>30</v>
      </c>
      <c r="AP14" s="77"/>
      <c r="AQ14" s="11" t="s">
        <v>31</v>
      </c>
      <c r="AR14" s="12" t="s">
        <v>39</v>
      </c>
      <c r="AS14" s="11" t="s">
        <v>38</v>
      </c>
      <c r="AT14" s="9" t="s">
        <v>26</v>
      </c>
      <c r="AU14" s="10" t="s">
        <v>40</v>
      </c>
      <c r="AV14" s="10" t="s">
        <v>48</v>
      </c>
      <c r="AW14" s="10" t="s">
        <v>27</v>
      </c>
      <c r="AX14" s="10" t="s">
        <v>45</v>
      </c>
      <c r="AY14" s="10" t="s">
        <v>46</v>
      </c>
      <c r="AZ14" s="11" t="s">
        <v>11</v>
      </c>
      <c r="BA14" s="122"/>
      <c r="BB14" s="63"/>
      <c r="BC14" s="63"/>
    </row>
    <row r="15" spans="1:55" s="29" customFormat="1" ht="149.25" customHeight="1" thickBot="1" x14ac:dyDescent="0.3">
      <c r="A15" s="99" t="s">
        <v>34</v>
      </c>
      <c r="B15" s="81" t="s">
        <v>83</v>
      </c>
      <c r="C15" s="81" t="s">
        <v>118</v>
      </c>
      <c r="D15" s="81" t="s">
        <v>65</v>
      </c>
      <c r="E15" s="116" t="s">
        <v>117</v>
      </c>
      <c r="F15" s="123" t="s">
        <v>119</v>
      </c>
      <c r="G15" s="64" t="str">
        <f t="shared" ref="G15" si="0">+IF(OR(D15&lt;&gt;"",E15&lt;&gt;"",F15&lt;&gt;""),CONCATENATE("Posibilidad de ",D15," por ",E15," debido a ",F15),"")</f>
        <v>Posibilidad de afectación económica y reputacional por Imprecisión en el análisis financiero de las solicitudes  de crédito debido a información incompleta o errónea, documentos incompletos, alteración de documentos</v>
      </c>
      <c r="H15" s="67" t="s">
        <v>120</v>
      </c>
      <c r="I15" s="81" t="s">
        <v>71</v>
      </c>
      <c r="J15" s="81" t="s">
        <v>72</v>
      </c>
      <c r="K15" s="81" t="s">
        <v>73</v>
      </c>
      <c r="L15" s="81" t="s">
        <v>79</v>
      </c>
      <c r="M15" s="102">
        <f>+IF(K15="Máximo 2 veces",0.2,IF(K15="Entre 3 a 24 veces",0.4,IF(K15="Entre 24 a 500 veces",0.6,IF(K15="Entre 500 a 5000 veces",0.8,IF(K15="Mas de 5000 veces",1,"")))))</f>
        <v>0.4</v>
      </c>
      <c r="N15" s="64" t="str">
        <f>+IF(M15="","",IF(M15&gt;0.8,"Muy Alta",IF(AND(M15&lt;=0.8,M15&gt;0.6),"Alta",IF(AND(M15&lt;=0.6,M15&gt;0.4),"Media",IF(AND(M15&lt;=0.4,M15&gt;0.2),"Baja","Muy Baja")))))</f>
        <v>Baja</v>
      </c>
      <c r="O15" s="102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0.6</v>
      </c>
      <c r="P15" s="84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Moderado</v>
      </c>
      <c r="Q15" s="64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Moderado</v>
      </c>
      <c r="R15" s="81" t="s">
        <v>68</v>
      </c>
      <c r="S15" s="81" t="s">
        <v>70</v>
      </c>
      <c r="T15" s="118"/>
      <c r="U15" s="23">
        <v>1</v>
      </c>
      <c r="V15" s="18" t="s">
        <v>89</v>
      </c>
      <c r="W15" s="18" t="s">
        <v>90</v>
      </c>
      <c r="X15" s="18" t="s">
        <v>121</v>
      </c>
      <c r="Y15" s="21" t="str">
        <f>CONCATENATE(V15,W15,X15)</f>
        <v xml:space="preserve">Profesional universitario 219-04 grupo de otorgamiento - dirección de financiamiento, promoción y desarrollo empresarial implementará check list por líneas de crédito, anexos en el Manual SARC donde se establecen los  indicadores financieros para revisar o analizar.  Comité de crédito
Junta directiva. </v>
      </c>
      <c r="Z15" s="18" t="s">
        <v>122</v>
      </c>
      <c r="AA15" s="24" t="s">
        <v>80</v>
      </c>
      <c r="AB15" s="25">
        <f>+IF(AA15="","",IF(AA15="Preventivo",0.25,IF(AA15="correctivo",0.1,IF(AA15="detectivo",0.15))))</f>
        <v>0.25</v>
      </c>
      <c r="AC15" s="24" t="s">
        <v>66</v>
      </c>
      <c r="AD15" s="25">
        <f>+IF(AC15="","",IF(AC15="Automático",0.25,IF(AC15="Manual",0.15)))</f>
        <v>0.15</v>
      </c>
      <c r="AE15" s="24" t="s">
        <v>69</v>
      </c>
      <c r="AF15" s="25">
        <f>+IF(AE15="","",IF(AE15="Documentado",0.5,IF(AE15="Sin documentar",0)))</f>
        <v>0</v>
      </c>
      <c r="AG15" s="24" t="s">
        <v>67</v>
      </c>
      <c r="AH15" s="25">
        <f>+IF(AG15="","",IF(AG15="Continua",0.1,IF(AG15="Aleatoria",0.05)))</f>
        <v>0.1</v>
      </c>
      <c r="AI15" s="24" t="s">
        <v>96</v>
      </c>
      <c r="AJ15" s="26">
        <f>+IF(AI15="","",IF(AI15="Con registro",0.05,IF(AI15="Sin registro",0)))</f>
        <v>0.05</v>
      </c>
      <c r="AK15" s="26">
        <f>+IF($M$15="","",$M$15-(SUM(AB15,AD15,AF15,AH15,AJ15)*$M$15))</f>
        <v>0.18</v>
      </c>
      <c r="AL15" s="102">
        <f>+IF(M15="","",MIN(AK15:AK17))</f>
        <v>1.9999999999999962E-2</v>
      </c>
      <c r="AM15" s="64" t="str">
        <f>+IF(AL15="","",IF(AL15&gt;0.8,"Muy Alta",IF(AND(AL15&lt;=0.8,AL15&gt;0.6),"Alta",IF(AND(AL15&lt;=0.6,AL15&gt;0.4),"Media",IF(AND(AL15&lt;=0.4,AL15&gt;0.2),"Baja","Muy Baja")))))</f>
        <v>Muy Baja</v>
      </c>
      <c r="AN15" s="27">
        <f>+IF(OR(S15="",S15="No"),O15,O15-(O15*T15))</f>
        <v>0.6</v>
      </c>
      <c r="AO15" s="102">
        <f>+IF(L15="","",MIN(AN15:AN17))</f>
        <v>0.6</v>
      </c>
      <c r="AP15" s="84" t="str">
        <f>+IF(AO15="","",IF(AO15&gt;0.8,"Catastrófico",IF(AND(AO15&lt;=0.8,AO15&gt;0.6),"Mayor",IF(AND(AO15&lt;=0.6,AO15&gt;0.4),"Moderado",IF(AND(AO15&lt;=0.4,AO15&gt;0.2),"Menor","Leve")))))</f>
        <v>Moderado</v>
      </c>
      <c r="AQ15" s="64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Bajo</v>
      </c>
      <c r="AR15" s="67" t="s">
        <v>75</v>
      </c>
      <c r="AS15" s="115">
        <v>1</v>
      </c>
      <c r="AT15" s="28">
        <v>1</v>
      </c>
      <c r="AU15" s="18" t="s">
        <v>123</v>
      </c>
      <c r="AV15" s="18" t="s">
        <v>97</v>
      </c>
      <c r="AW15" s="47" t="s">
        <v>153</v>
      </c>
      <c r="AX15" s="18" t="s">
        <v>124</v>
      </c>
      <c r="AY15" s="45" t="s">
        <v>104</v>
      </c>
      <c r="AZ15" s="18" t="s">
        <v>125</v>
      </c>
      <c r="BA15" s="67"/>
      <c r="BB15" s="59"/>
      <c r="BC15" s="106"/>
    </row>
    <row r="16" spans="1:55" s="29" customFormat="1" ht="117" customHeight="1" thickBot="1" x14ac:dyDescent="0.3">
      <c r="A16" s="100"/>
      <c r="B16" s="82"/>
      <c r="C16" s="82"/>
      <c r="D16" s="82"/>
      <c r="E16" s="82"/>
      <c r="F16" s="57"/>
      <c r="G16" s="65"/>
      <c r="H16" s="68"/>
      <c r="I16" s="82"/>
      <c r="J16" s="82"/>
      <c r="K16" s="82"/>
      <c r="L16" s="82"/>
      <c r="M16" s="103"/>
      <c r="N16" s="65"/>
      <c r="O16" s="103"/>
      <c r="P16" s="85"/>
      <c r="Q16" s="65"/>
      <c r="R16" s="82"/>
      <c r="S16" s="82"/>
      <c r="T16" s="119"/>
      <c r="U16" s="30">
        <v>2</v>
      </c>
      <c r="V16" s="18" t="s">
        <v>91</v>
      </c>
      <c r="W16" s="18" t="s">
        <v>92</v>
      </c>
      <c r="X16" s="19"/>
      <c r="Y16" s="22" t="str">
        <f t="shared" ref="Y16:Y17" si="1">CONCATENATE(V16,W16,X16)</f>
        <v xml:space="preserve">Profesional universitario 219-04 grupo de otorgamiento - dirección de financiamiento, promoción y desarrollo empresarial, en coordinación con la oficina de gestión del riesgo  verificará  la información aportada por los clientes a través de las Centrales de Riesgo, CHIP, páginas web de las entidades, etc. </v>
      </c>
      <c r="Z16" s="19" t="s">
        <v>93</v>
      </c>
      <c r="AA16" s="31" t="s">
        <v>94</v>
      </c>
      <c r="AB16" s="32">
        <f t="shared" ref="AB16:AB20" si="2">+IF(AA16="","",IF(AA16="Preventivo",0.25,IF(AA16="Detectivo",0.15,IF(AA16="Correctivo",0.1,))))</f>
        <v>0.15</v>
      </c>
      <c r="AC16" s="31" t="s">
        <v>66</v>
      </c>
      <c r="AD16" s="32">
        <f t="shared" ref="AD16:AD20" si="3">+IF(AC16="","",IF(AC16="Automático",0.25,IF(AC16="Manual",0.15)))</f>
        <v>0.15</v>
      </c>
      <c r="AE16" s="31" t="s">
        <v>95</v>
      </c>
      <c r="AF16" s="32">
        <f t="shared" ref="AF16:AF20" si="4">+IF(AE16="","",IF(AE16="Documentado",0.5,IF(AE16="Sin documentar",0)))</f>
        <v>0.5</v>
      </c>
      <c r="AG16" s="31" t="s">
        <v>67</v>
      </c>
      <c r="AH16" s="32">
        <f t="shared" ref="AH16:AH20" si="5">+IF(AG16="","",IF(AG16="Continua",0.1,IF(AG16="Aleatoria",0.05)))</f>
        <v>0.1</v>
      </c>
      <c r="AI16" s="31" t="s">
        <v>96</v>
      </c>
      <c r="AJ16" s="33">
        <f t="shared" ref="AJ16:AJ20" si="6">+IF(AI16="","",IF(AI16="Con registro",0.05,IF(AI16="Sin registro",0)))</f>
        <v>0.05</v>
      </c>
      <c r="AK16" s="26">
        <f>+IF($M$15="","",$M$15-(SUM(AB16,AD16,AF16,AH16,AJ16)*$M$15))</f>
        <v>1.9999999999999962E-2</v>
      </c>
      <c r="AL16" s="103"/>
      <c r="AM16" s="65"/>
      <c r="AN16" s="34">
        <f>+IF(AND(AA15="Correctivo",AA16="Correctivo",AA17="Correctivo"),AN15-(0.3*AN15),IF(AND(AA15="Correctivo",OR(AA16="Correctivo",AA17="Correctivo")),AN15-(0.2*AN15),IF(AND(AA16="Correctivo",OR(AA15="Correctivo",AA17="Correctivo")),AN15-(0.2*AN15),IF(AND(AA17="Correctivo",OR(AA16="Correctivo",AA15="Correctivo")),AN15-(0.2*AN15),IF(OR(AA15="Correctivo",AA16="Correctivo",AA17="Correctivo"),AN15-(0.1*AN15),AN15)))))</f>
        <v>0.6</v>
      </c>
      <c r="AO16" s="103"/>
      <c r="AP16" s="85"/>
      <c r="AQ16" s="65"/>
      <c r="AR16" s="68"/>
      <c r="AS16" s="68"/>
      <c r="AT16" s="35">
        <v>2</v>
      </c>
      <c r="AU16" s="20" t="s">
        <v>127</v>
      </c>
      <c r="AV16" s="18" t="s">
        <v>128</v>
      </c>
      <c r="AW16" s="47" t="s">
        <v>153</v>
      </c>
      <c r="AX16" s="19" t="s">
        <v>129</v>
      </c>
      <c r="AY16" s="45" t="s">
        <v>130</v>
      </c>
      <c r="AZ16" s="19" t="s">
        <v>125</v>
      </c>
      <c r="BA16" s="68"/>
      <c r="BB16" s="60"/>
      <c r="BC16" s="107"/>
    </row>
    <row r="17" spans="1:55" s="29" customFormat="1" ht="111.75" customHeight="1" thickBot="1" x14ac:dyDescent="0.3">
      <c r="A17" s="101"/>
      <c r="B17" s="83"/>
      <c r="C17" s="83"/>
      <c r="D17" s="83"/>
      <c r="E17" s="83"/>
      <c r="F17" s="124"/>
      <c r="G17" s="66"/>
      <c r="H17" s="69"/>
      <c r="I17" s="83"/>
      <c r="J17" s="83"/>
      <c r="K17" s="83"/>
      <c r="L17" s="83"/>
      <c r="M17" s="104"/>
      <c r="N17" s="66"/>
      <c r="O17" s="104"/>
      <c r="P17" s="86"/>
      <c r="Q17" s="66"/>
      <c r="R17" s="83"/>
      <c r="S17" s="83"/>
      <c r="T17" s="120"/>
      <c r="U17" s="36">
        <v>3</v>
      </c>
      <c r="V17" s="50"/>
      <c r="W17" s="20"/>
      <c r="X17" s="20"/>
      <c r="Y17" s="22" t="str">
        <f t="shared" si="1"/>
        <v/>
      </c>
      <c r="Z17" s="20"/>
      <c r="AA17" s="37"/>
      <c r="AB17" s="38" t="str">
        <f t="shared" si="2"/>
        <v/>
      </c>
      <c r="AC17" s="37"/>
      <c r="AD17" s="38" t="str">
        <f t="shared" si="3"/>
        <v/>
      </c>
      <c r="AE17" s="37"/>
      <c r="AF17" s="38" t="str">
        <f t="shared" si="4"/>
        <v/>
      </c>
      <c r="AG17" s="37"/>
      <c r="AH17" s="38" t="str">
        <f t="shared" si="5"/>
        <v/>
      </c>
      <c r="AI17" s="37"/>
      <c r="AJ17" s="39" t="str">
        <f t="shared" si="6"/>
        <v/>
      </c>
      <c r="AK17" s="26"/>
      <c r="AL17" s="104"/>
      <c r="AM17" s="66"/>
      <c r="AN17" s="40"/>
      <c r="AO17" s="104"/>
      <c r="AP17" s="86"/>
      <c r="AQ17" s="66"/>
      <c r="AR17" s="69"/>
      <c r="AS17" s="69"/>
      <c r="AT17" s="41">
        <v>3</v>
      </c>
      <c r="AU17" s="20"/>
      <c r="AV17" s="20"/>
      <c r="AW17" s="47"/>
      <c r="AX17" s="18"/>
      <c r="AZ17" s="20"/>
      <c r="BA17" s="69"/>
      <c r="BB17" s="61"/>
      <c r="BC17" s="108"/>
    </row>
    <row r="18" spans="1:55" s="29" customFormat="1" ht="120" customHeight="1" thickBot="1" x14ac:dyDescent="0.3">
      <c r="A18" s="99" t="s">
        <v>58</v>
      </c>
      <c r="B18" s="81" t="s">
        <v>84</v>
      </c>
      <c r="C18" s="81" t="s">
        <v>76</v>
      </c>
      <c r="D18" s="81" t="s">
        <v>65</v>
      </c>
      <c r="E18" s="116" t="s">
        <v>131</v>
      </c>
      <c r="F18" s="81" t="s">
        <v>132</v>
      </c>
      <c r="G18" s="64" t="str">
        <f t="shared" ref="G18" si="7">+IF(OR(D18&lt;&gt;"",E18&lt;&gt;"",F18&lt;&gt;""),CONCATENATE("Posibilidad de ",D18," por ",E18," debido a ",F18),"")</f>
        <v xml:space="preserve">Posibilidad de afectación económica y reputacional por Imposibilidad de oferta de créditos  debido a  Falta de recursos propios (compromisos contractuales y/o financieros) y/o  Falta de apoyo por parte del Gobierno Nacional, departamental y municipal a la banca pública
y/o decisiones politicas.
</v>
      </c>
      <c r="H18" s="67" t="s">
        <v>133</v>
      </c>
      <c r="I18" s="81" t="s">
        <v>71</v>
      </c>
      <c r="J18" s="81" t="s">
        <v>72</v>
      </c>
      <c r="K18" s="81" t="s">
        <v>78</v>
      </c>
      <c r="L18" s="81" t="s">
        <v>74</v>
      </c>
      <c r="M18" s="102">
        <f>+IF(K18="Máximo 2 veces",0.2,IF(K18="Entre 3 a 24 veces",0.4,IF(K18="Entre 24 a 500 veces",0.6,IF(K18="Entre 500 a 5000 veces",0.8,IF(K18="Mas de 5000 veces",1,"")))))</f>
        <v>0.6</v>
      </c>
      <c r="N18" s="64" t="str">
        <f>+IF(M18="","",IF(M18&gt;0.8,"Muy Alta",IF(AND(M18&lt;=0.8,M18&gt;0.6),"Alta",IF(AND(M18&lt;=0.6,M18&gt;0.4),"Media",IF(AND(M18&lt;=0.4,M18&gt;0.2),"Baja","Muy Baja")))))</f>
        <v>Media</v>
      </c>
      <c r="O18" s="102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0.8</v>
      </c>
      <c r="P18" s="84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Mayor</v>
      </c>
      <c r="Q18" s="64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Alto</v>
      </c>
      <c r="R18" s="81" t="s">
        <v>68</v>
      </c>
      <c r="S18" s="81" t="s">
        <v>70</v>
      </c>
      <c r="T18" s="118"/>
      <c r="U18" s="23">
        <v>1</v>
      </c>
      <c r="V18" s="18" t="s">
        <v>89</v>
      </c>
      <c r="W18" s="53" t="s">
        <v>137</v>
      </c>
      <c r="X18" s="18" t="s">
        <v>138</v>
      </c>
      <c r="Y18" s="22" t="str">
        <f>CONCATENATE(V18,W18,X18)</f>
        <v xml:space="preserve">Profesional universitario 219-04 grupo de otorgamiento - dirección de financiamiento, promoción y desarrollo empresarialsolicitud a la alta gerencia la gestión de recursos de fuentes aliadas (públicas y/o privadas) con el fin de contar con disponibilidad de recursos en la banca para la oferta de créditos </v>
      </c>
      <c r="Z18" s="18" t="s">
        <v>139</v>
      </c>
      <c r="AA18" s="24" t="s">
        <v>80</v>
      </c>
      <c r="AB18" s="25">
        <f>+IF(AA18="","",IF(AA18="Preventivo",0.25,IF(AA18="Detectivo",0.15,IF(AA18="Correctivo",0.1,))))</f>
        <v>0.25</v>
      </c>
      <c r="AC18" s="24" t="s">
        <v>66</v>
      </c>
      <c r="AD18" s="25">
        <f>+IF(AC18="","",IF(AC18="Automático",0.25,IF(AC18="Manual",0.15)))</f>
        <v>0.15</v>
      </c>
      <c r="AE18" s="24" t="s">
        <v>95</v>
      </c>
      <c r="AF18" s="25">
        <f>+IF(AE18="","",IF(AE18="Documentado",0.5,IF(AE18="Sin documentar",0)))</f>
        <v>0.5</v>
      </c>
      <c r="AG18" s="24" t="s">
        <v>67</v>
      </c>
      <c r="AH18" s="25">
        <f>+IF(AG18="","",IF(AG18="Continua",0.1,IF(AG18="Aleatoria",0.05)))</f>
        <v>0.1</v>
      </c>
      <c r="AI18" s="24" t="s">
        <v>96</v>
      </c>
      <c r="AJ18" s="26">
        <f>+IF(AI18="","",IF(AI18="Con registro",0.05,IF(AI18="Sin registro",0)))</f>
        <v>0.05</v>
      </c>
      <c r="AK18" s="26">
        <f>+IF(M18="","",M18-(SUM(AB18,AD18,AF18,AH18,AJ18)*M18))</f>
        <v>-3.0000000000000027E-2</v>
      </c>
      <c r="AL18" s="102">
        <f>+IF(M18="","",MIN(AK18:AK20))</f>
        <v>-3.0000000000000027E-2</v>
      </c>
      <c r="AM18" s="64" t="str">
        <f>+IF(AL18="","",IF(AL18&gt;0.8,"Muy Alta",IF(AND(AL18&lt;=0.8,AL18&gt;0.6),"Alta",IF(AND(AL18&lt;=0.6,AL18&gt;0.4),"Media",IF(AND(AL18&lt;=0.4,AL18&gt;0.2),"Baja","Muy Baja")))))</f>
        <v>Muy Baja</v>
      </c>
      <c r="AN18" s="27">
        <f>+IF(OR(S18="",S18="No"),O18,O18-(O18*T18))</f>
        <v>0.8</v>
      </c>
      <c r="AO18" s="102">
        <f>+IF(L18="","",MIN(AN19:AN20))</f>
        <v>0.8</v>
      </c>
      <c r="AP18" s="84" t="str">
        <f>+IF(AO18="","",IF(AO18&gt;0.8,"Catastrófico",IF(AND(AO18&lt;=0.8,AO18&gt;0.6),"Mayor",IF(AND(AO18&lt;=0.6,AO18&gt;0.4),"Moderado",IF(AND(AO18&lt;=0.4,AO18&gt;0.2),"Menor","Leve")))))</f>
        <v>Mayor</v>
      </c>
      <c r="AQ18" s="64" t="str">
        <f t="shared" ref="AQ18" si="8"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Alto</v>
      </c>
      <c r="AR18" s="67" t="s">
        <v>151</v>
      </c>
      <c r="AS18" s="128">
        <v>0</v>
      </c>
      <c r="AT18" s="28">
        <v>1</v>
      </c>
      <c r="AU18" s="18" t="s">
        <v>143</v>
      </c>
      <c r="AV18" s="18" t="s">
        <v>98</v>
      </c>
      <c r="AW18" s="47" t="s">
        <v>153</v>
      </c>
      <c r="AX18" s="18" t="s">
        <v>146</v>
      </c>
      <c r="AY18" s="18" t="s">
        <v>147</v>
      </c>
      <c r="AZ18" s="18" t="s">
        <v>126</v>
      </c>
      <c r="BA18" s="67"/>
      <c r="BB18" s="59"/>
      <c r="BC18" s="125"/>
    </row>
    <row r="19" spans="1:55" s="29" customFormat="1" ht="127.5" customHeight="1" thickBot="1" x14ac:dyDescent="0.3">
      <c r="A19" s="100"/>
      <c r="B19" s="82"/>
      <c r="C19" s="82"/>
      <c r="D19" s="82"/>
      <c r="E19" s="82"/>
      <c r="F19" s="82"/>
      <c r="G19" s="65"/>
      <c r="H19" s="68"/>
      <c r="I19" s="82"/>
      <c r="J19" s="82"/>
      <c r="K19" s="82"/>
      <c r="L19" s="82"/>
      <c r="M19" s="103"/>
      <c r="N19" s="65"/>
      <c r="O19" s="103"/>
      <c r="P19" s="85"/>
      <c r="Q19" s="65"/>
      <c r="R19" s="82"/>
      <c r="S19" s="82"/>
      <c r="T19" s="119"/>
      <c r="U19" s="30">
        <v>2</v>
      </c>
      <c r="V19" s="18" t="s">
        <v>99</v>
      </c>
      <c r="W19" s="19" t="s">
        <v>140</v>
      </c>
      <c r="X19" s="19" t="s">
        <v>136</v>
      </c>
      <c r="Y19" s="22" t="str">
        <f>CONCATENATE(V19,W19,X19)</f>
        <v xml:space="preserve">La Alta Gerencia en conjunto con el Profesional universitario 219-04 grupo de otorgamiento - dirección de financiamiento, promoción y desarrollo empresarialpromoverán la afiliación  en ASOINFIS
, para apoyar las estrategias de fortalecimiento de la banca pública. </v>
      </c>
      <c r="Z19" s="19" t="s">
        <v>141</v>
      </c>
      <c r="AA19" s="31" t="s">
        <v>80</v>
      </c>
      <c r="AB19" s="32">
        <f t="shared" si="2"/>
        <v>0.25</v>
      </c>
      <c r="AC19" s="31" t="s">
        <v>66</v>
      </c>
      <c r="AD19" s="32">
        <f t="shared" si="3"/>
        <v>0.15</v>
      </c>
      <c r="AE19" s="31" t="s">
        <v>69</v>
      </c>
      <c r="AF19" s="32">
        <f t="shared" si="4"/>
        <v>0</v>
      </c>
      <c r="AG19" s="31" t="s">
        <v>67</v>
      </c>
      <c r="AH19" s="32">
        <f t="shared" si="5"/>
        <v>0.1</v>
      </c>
      <c r="AI19" s="31" t="s">
        <v>96</v>
      </c>
      <c r="AJ19" s="33">
        <f t="shared" si="6"/>
        <v>0.05</v>
      </c>
      <c r="AK19" s="33">
        <f>+IF(AK18="","",AK18-(SUM(AB19,AD19,AF19,AH19,AJ19)*AK18))</f>
        <v>-1.3500000000000012E-2</v>
      </c>
      <c r="AL19" s="103"/>
      <c r="AM19" s="65"/>
      <c r="AN19" s="34">
        <f>+IF(AND(AA18="Correctivo",AA19="Correctivo",AA20="Correctivo"),AN18-(0.3*AN18),IF(AND(AA18="Correctivo",OR(AA19="Correctivo",AA20="Correctivo")),AN18-(0.2*AN18),IF(AND(AA19="Correctivo",OR(AA18="Correctivo",AA20="Correctivo")),AN18-(0.2*AN18),IF(AND(AA20="Correctivo",OR(AA19="Correctivo",AA18="Correctivo")),AN18-(0.2*AN18),IF(OR(AA18="Correctivo",AA19="Correctivo",AA20="Correctivo"),AN18-(0.1*AN18),AN18)))))</f>
        <v>0.8</v>
      </c>
      <c r="AO19" s="103"/>
      <c r="AP19" s="85"/>
      <c r="AQ19" s="65"/>
      <c r="AR19" s="68"/>
      <c r="AS19" s="129"/>
      <c r="AT19" s="35">
        <v>2</v>
      </c>
      <c r="AU19" s="19" t="s">
        <v>144</v>
      </c>
      <c r="AV19" s="50" t="s">
        <v>98</v>
      </c>
      <c r="AW19" s="47" t="s">
        <v>153</v>
      </c>
      <c r="AX19" s="19" t="s">
        <v>145</v>
      </c>
      <c r="AY19" s="50" t="s">
        <v>147</v>
      </c>
      <c r="AZ19" s="19" t="s">
        <v>126</v>
      </c>
      <c r="BA19" s="68"/>
      <c r="BB19" s="60"/>
      <c r="BC19" s="126"/>
    </row>
    <row r="20" spans="1:55" s="29" customFormat="1" ht="109.5" customHeight="1" thickBot="1" x14ac:dyDescent="0.3">
      <c r="A20" s="101"/>
      <c r="B20" s="83"/>
      <c r="C20" s="83"/>
      <c r="D20" s="83"/>
      <c r="E20" s="83"/>
      <c r="F20" s="83"/>
      <c r="G20" s="66"/>
      <c r="H20" s="69"/>
      <c r="I20" s="83"/>
      <c r="J20" s="83"/>
      <c r="K20" s="83"/>
      <c r="L20" s="83"/>
      <c r="M20" s="104"/>
      <c r="N20" s="66"/>
      <c r="O20" s="104"/>
      <c r="P20" s="86"/>
      <c r="Q20" s="66"/>
      <c r="R20" s="83"/>
      <c r="S20" s="83"/>
      <c r="T20" s="120"/>
      <c r="U20" s="36">
        <v>3</v>
      </c>
      <c r="V20" s="50" t="s">
        <v>89</v>
      </c>
      <c r="W20" s="20" t="s">
        <v>134</v>
      </c>
      <c r="X20" s="20" t="s">
        <v>135</v>
      </c>
      <c r="Y20" s="52" t="str">
        <f>CONCATENATE(V20,W20,X20)</f>
        <v>Profesional universitario 219-04 grupo de otorgamiento - dirección de financiamiento, promoción y desarrollo empresarialsolicitará a la alta gerencia la gestión presupuestal  para contar con la disponibilidad de recursos financieros internos con el fin de apalancar la banca.</v>
      </c>
      <c r="Z20" s="20" t="s">
        <v>142</v>
      </c>
      <c r="AA20" s="37" t="s">
        <v>80</v>
      </c>
      <c r="AB20" s="38">
        <f t="shared" si="2"/>
        <v>0.25</v>
      </c>
      <c r="AC20" s="37" t="s">
        <v>66</v>
      </c>
      <c r="AD20" s="38">
        <f t="shared" si="3"/>
        <v>0.15</v>
      </c>
      <c r="AE20" s="37" t="s">
        <v>95</v>
      </c>
      <c r="AF20" s="38">
        <f t="shared" si="4"/>
        <v>0.5</v>
      </c>
      <c r="AG20" s="37" t="s">
        <v>67</v>
      </c>
      <c r="AH20" s="38">
        <f t="shared" si="5"/>
        <v>0.1</v>
      </c>
      <c r="AI20" s="37" t="s">
        <v>96</v>
      </c>
      <c r="AJ20" s="39">
        <f t="shared" si="6"/>
        <v>0.05</v>
      </c>
      <c r="AK20" s="39"/>
      <c r="AL20" s="104"/>
      <c r="AM20" s="66"/>
      <c r="AN20" s="40"/>
      <c r="AO20" s="104"/>
      <c r="AP20" s="86"/>
      <c r="AQ20" s="66"/>
      <c r="AR20" s="69"/>
      <c r="AS20" s="130"/>
      <c r="AT20" s="41">
        <v>3</v>
      </c>
      <c r="AU20" s="20" t="s">
        <v>148</v>
      </c>
      <c r="AV20" s="50" t="s">
        <v>98</v>
      </c>
      <c r="AW20" s="47" t="s">
        <v>153</v>
      </c>
      <c r="AX20" s="20" t="s">
        <v>149</v>
      </c>
      <c r="AY20" s="50" t="s">
        <v>147</v>
      </c>
      <c r="AZ20" s="20" t="s">
        <v>152</v>
      </c>
      <c r="BA20" s="69"/>
      <c r="BB20" s="61"/>
      <c r="BC20" s="127"/>
    </row>
    <row r="21" spans="1:55" s="29" customFormat="1" ht="136.5" customHeight="1" thickBot="1" x14ac:dyDescent="0.3">
      <c r="A21" s="99" t="s">
        <v>85</v>
      </c>
      <c r="B21" s="81" t="s">
        <v>87</v>
      </c>
      <c r="C21" s="81" t="s">
        <v>86</v>
      </c>
      <c r="D21" s="81" t="s">
        <v>65</v>
      </c>
      <c r="E21" s="116" t="s">
        <v>88</v>
      </c>
      <c r="F21" s="81" t="s">
        <v>103</v>
      </c>
      <c r="G21" s="64" t="str">
        <f>+IF(OR(D21&lt;&gt;"",E21&lt;&gt;"",F21&lt;&gt;""),CONCATENATE("Posibilidad de ",D21," por ",E21," debido a ",F21),"")</f>
        <v xml:space="preserve">Posibilidad de afectación económica y reputacional por pérdida de clientes y potenciales clientes  debido a endurecimiento de requisitos normativos a niveles territoriales y nacional. </v>
      </c>
      <c r="H21" s="67" t="s">
        <v>102</v>
      </c>
      <c r="I21" s="81" t="s">
        <v>71</v>
      </c>
      <c r="J21" s="81" t="s">
        <v>77</v>
      </c>
      <c r="K21" s="81" t="s">
        <v>78</v>
      </c>
      <c r="L21" s="81" t="s">
        <v>74</v>
      </c>
      <c r="M21" s="102">
        <f>+IF(K21="Máximo 2 veces",0.2,IF(K21="Entre 3 a 24 veces",0.4,IF(K21="Entre 24 a 500 veces",0.6,IF(K21="Entre 500 a 5000 veces",0.8,IF(K21="Mas de 5000 veces",1,"")))))</f>
        <v>0.6</v>
      </c>
      <c r="N21" s="64" t="str">
        <f>+IF(M21="","",IF(M21&gt;0.8,"Muy Alta",IF(AND(M21&lt;=0.8,M21&gt;0.6),"Alta",IF(AND(M21&lt;=0.6,M21&gt;0.4),"Media",IF(AND(M21&lt;=0.4,M21&gt;0.2),"Baja","Muy Baja")))))</f>
        <v>Media</v>
      </c>
      <c r="O21" s="102">
        <f>+IF(L21="Menor a 10 SMLMV o afectación a un área/proceso",0.2,IF(L21="Entre 10 y 50 SMLMV o afectación interna",0.4,IF(L21="Entre 50 y 100 SMLMV o afectación con algunos usuarios",0.6,IF(L21="Entre 100 y 500 SMLMV o fectación a nivel municipal/departamental",0.8,IF(L21="Mayor a 500 SMLMV o afectación nacional",1,"")))))</f>
        <v>0.8</v>
      </c>
      <c r="P21" s="84" t="str">
        <f>+IF(L21="Menor a 10 SMLMV o afectación a un área/proceso","Leve",IF(L21="Entre 10 y 50 SMLMV o afectación interna","Menor",IF(L21="Entre 50 y 100 SMLMV o afectación con algunos usuarios","Moderado",IF(L21="Entre 100 y 500 SMLMV o fectación a nivel municipal/departamental","Mayor",IF(L21="Mayor a 500 SMLMV o afectación nacional","Catastrófico","")))))</f>
        <v>Mayor</v>
      </c>
      <c r="Q21" s="64" t="str">
        <f>+IF(OR(K21="",L21=""),"",IF(AND(P21="Catastrófico",N21&lt;&gt;""),"Extremo",IF(AND(P21="Mayor",N21&lt;&gt;""),"Alto",IF(AND(N21="Muy Alta",O21&gt;0.1,O21&lt;0.7),"Alto",IF(AND(N21="Alta",P21="Moderado"),"Alto",IF(O21*M21&lt;0.1,"Bajo",IF(AND(N21="Alta",O21&lt;0.5),"Moderado",IF(AND(N21="Media",O21&lt;0.7),"Moderado",IF(AND(N21="Baja",OR(P21="Moderado",P21="Menor")),"Moderado",IF(AND(N21="Muy Baja",P21="Moderado"),"Moderado",))))))))))</f>
        <v>Alto</v>
      </c>
      <c r="R21" s="81" t="s">
        <v>68</v>
      </c>
      <c r="S21" s="81" t="s">
        <v>70</v>
      </c>
      <c r="T21" s="118"/>
      <c r="U21" s="23">
        <v>1</v>
      </c>
      <c r="V21" s="18" t="s">
        <v>89</v>
      </c>
      <c r="W21" s="46" t="s">
        <v>115</v>
      </c>
      <c r="X21" s="18" t="s">
        <v>100</v>
      </c>
      <c r="Y21" s="22" t="str">
        <f t="shared" ref="Y21:Y22" si="9">CONCATENATE(V21,W21,X21)</f>
        <v xml:space="preserve">Profesional universitario 219-04 grupo de otorgamiento - dirección de financiamiento, promoción y desarrollo empresarialPromoverá la afiliación  en ASOINFIS para apoyar las estrategias de fortalecimiento de la banca pública y el contexto normativo actualizados con el fin de entender los retos a los que se enfentan los Infis del país </v>
      </c>
      <c r="Z21" s="19" t="s">
        <v>150</v>
      </c>
      <c r="AA21" s="24" t="s">
        <v>80</v>
      </c>
      <c r="AB21" s="25">
        <f>+IF(AA21="","",IF(AA21="Preventivo",0.25,IF(AA21="Detectivo",0.15,IF(AA21="Correctivo",0.1,))))</f>
        <v>0.25</v>
      </c>
      <c r="AC21" s="24" t="s">
        <v>66</v>
      </c>
      <c r="AD21" s="25">
        <f>+IF(AC21="","",IF(AC21="Automático",0.25,IF(AC21="Manual",0.15)))</f>
        <v>0.15</v>
      </c>
      <c r="AE21" s="24" t="s">
        <v>69</v>
      </c>
      <c r="AF21" s="25">
        <f>+IF(AE21="","",IF(AE21="Documentado",0.5,IF(AE21="Sin documentar",0)))</f>
        <v>0</v>
      </c>
      <c r="AG21" s="24" t="s">
        <v>67</v>
      </c>
      <c r="AH21" s="25">
        <f>+IF(AG21="","",IF(AG21="Continua",0.1,IF(AG21="Aleatoria",0.05)))</f>
        <v>0.1</v>
      </c>
      <c r="AI21" s="24" t="s">
        <v>96</v>
      </c>
      <c r="AJ21" s="26">
        <f>+IF(AI21="","",IF(AI21="Con registro",0.05,IF(AI21="Sin registro",0)))</f>
        <v>0.05</v>
      </c>
      <c r="AK21" s="26">
        <f>+IF(M21="","",M21-(SUM(AB21,AD21,AF21,AH21,AJ21)*M21))</f>
        <v>0.26999999999999996</v>
      </c>
      <c r="AL21" s="102">
        <f>+IF(M21="","",MIN(AK21:AK23))</f>
        <v>1.3499999999999956E-2</v>
      </c>
      <c r="AM21" s="64" t="str">
        <f>+IF(AL21="","",IF(AL21&gt;0.8,"Muy Alta",IF(AND(AL21&lt;=0.8,AL21&gt;0.6),"Alta",IF(AND(AL21&lt;=0.6,AL21&gt;0.4),"Media",IF(AND(AL21&lt;=0.4,AL21&gt;0.2),"Baja","Muy Baja")))))</f>
        <v>Muy Baja</v>
      </c>
      <c r="AN21" s="27">
        <f>+IF(OR(S21="",S21="No"),O21,O21-(O21*T21))</f>
        <v>0.8</v>
      </c>
      <c r="AO21" s="102">
        <f>+IF(L21="","",MIN(AN22:AN23))</f>
        <v>0.8</v>
      </c>
      <c r="AP21" s="84" t="str">
        <f>+IF(AO21="","",IF(AO21&gt;0.8,"Catastrófico",IF(AND(AO21&lt;=0.8,AO21&gt;0.6),"Mayor",IF(AND(AO21&lt;=0.6,AO21&gt;0.4),"Moderado",IF(AND(AO21&lt;=0.4,AO21&gt;0.2),"Menor","Leve")))))</f>
        <v>Mayor</v>
      </c>
      <c r="AQ21" s="64" t="str">
        <f t="shared" ref="AQ21" si="10">+IF(OR(AL21="",AO21=""),"",IF(AND(AP21="Catastrófico",AM21&lt;&gt;""),"Extremo",IF(AND(AP21="Mayor",AM21&lt;&gt;""),"Alto",IF(AND(AM21="Muy Alta",AO21&gt;0.1,AO21&lt;0.7),"Alto",IF(AND(AM21="Alta",AP21="Moderado"),"Alto",IF(AO21*AL21&lt;0.1,"Bajo",IF(AND(AM21="Alta",AO21&lt;0.5),"Moderado",IF(AND(AM21="Media",AO21&lt;0.7),"Moderado",IF(AND(AM21="Baja",OR(AP21="Moderado",AP21="Menor")),"Moderado",IF(AND(AM21="Muy Baja",AP21="Moderado"),"Moderado",))))))))))</f>
        <v>Alto</v>
      </c>
      <c r="AR21" s="67" t="s">
        <v>154</v>
      </c>
      <c r="AS21" s="67">
        <v>0</v>
      </c>
      <c r="AT21" s="28">
        <v>1</v>
      </c>
      <c r="AU21" s="18" t="s">
        <v>106</v>
      </c>
      <c r="AV21" s="18" t="s">
        <v>98</v>
      </c>
      <c r="AW21" s="47" t="s">
        <v>153</v>
      </c>
      <c r="AX21" s="48" t="s">
        <v>107</v>
      </c>
      <c r="AY21" s="54" t="s">
        <v>104</v>
      </c>
      <c r="AZ21" s="18" t="s">
        <v>152</v>
      </c>
      <c r="BA21" s="67"/>
      <c r="BB21" s="59"/>
      <c r="BC21" s="125"/>
    </row>
    <row r="22" spans="1:55" s="29" customFormat="1" ht="100.5" customHeight="1" thickBot="1" x14ac:dyDescent="0.3">
      <c r="A22" s="100"/>
      <c r="B22" s="82"/>
      <c r="C22" s="82"/>
      <c r="D22" s="82"/>
      <c r="E22" s="82"/>
      <c r="F22" s="82"/>
      <c r="G22" s="65"/>
      <c r="H22" s="68"/>
      <c r="I22" s="82"/>
      <c r="J22" s="82"/>
      <c r="K22" s="82"/>
      <c r="L22" s="82"/>
      <c r="M22" s="103"/>
      <c r="N22" s="65"/>
      <c r="O22" s="103"/>
      <c r="P22" s="85"/>
      <c r="Q22" s="65"/>
      <c r="R22" s="82"/>
      <c r="S22" s="82"/>
      <c r="T22" s="119"/>
      <c r="U22" s="30">
        <v>2</v>
      </c>
      <c r="V22" s="18" t="s">
        <v>114</v>
      </c>
      <c r="W22" s="29" t="s">
        <v>108</v>
      </c>
      <c r="X22" s="19" t="s">
        <v>109</v>
      </c>
      <c r="Y22" s="22" t="str">
        <f t="shared" si="9"/>
        <v xml:space="preserve">La profesional universitaria 219-04 grupo de otorgamiento - dirección de financiamiento, promoción y desarrollo empresarial Actualización de la matriz de aspectos legales con el fin de establecer nuevas disposiciones que impacten a la entidad </v>
      </c>
      <c r="Z22" s="19" t="s">
        <v>110</v>
      </c>
      <c r="AA22" s="31" t="s">
        <v>94</v>
      </c>
      <c r="AB22" s="32">
        <f>+IF(AA22="","",IF(AA22="Preventivo",0.25,IF(AA22="Detectivo",0.15,IF(AA22="Correctivo",0.1,))))</f>
        <v>0.15</v>
      </c>
      <c r="AC22" s="31" t="s">
        <v>66</v>
      </c>
      <c r="AD22" s="32">
        <f t="shared" ref="AD22:AD23" si="11">+IF(AC22="","",IF(AC22="Automático",0.25,IF(AC22="Manual",0.15)))</f>
        <v>0.15</v>
      </c>
      <c r="AE22" s="31" t="s">
        <v>95</v>
      </c>
      <c r="AF22" s="32">
        <f t="shared" ref="AF22:AF23" si="12">+IF(AE22="","",IF(AE22="Documentado",0.5,IF(AE22="Sin documentar",0)))</f>
        <v>0.5</v>
      </c>
      <c r="AG22" s="31" t="s">
        <v>67</v>
      </c>
      <c r="AH22" s="32">
        <f t="shared" ref="AH22:AH23" si="13">+IF(AG22="","",IF(AG22="Continua",0.1,IF(AG22="Aleatoria",0.05)))</f>
        <v>0.1</v>
      </c>
      <c r="AI22" s="31" t="s">
        <v>96</v>
      </c>
      <c r="AJ22" s="33">
        <f t="shared" ref="AJ22:AJ23" si="14">+IF(AI22="","",IF(AI22="Con registro",0.05,IF(AI22="Sin registro",0)))</f>
        <v>0.05</v>
      </c>
      <c r="AK22" s="33">
        <f>+IF(AK21="","",AK21-(SUM(AB22,AD22,AF22,AH22,AJ22)*AK21))</f>
        <v>1.3499999999999956E-2</v>
      </c>
      <c r="AL22" s="103"/>
      <c r="AM22" s="65"/>
      <c r="AN22" s="34">
        <f>+IF(AND(AA21="Correctivo",AA22="Correctivo",AA23="Correctivo"),AN21-(0.3*AN21),IF(AND(AA21="Correctivo",OR(AA22="Correctivo",AA23="Correctivo")),AN21-(0.2*AN21),IF(AND(AA22="Correctivo",OR(AA21="Correctivo",AA23="Correctivo")),AN21-(0.2*AN21),IF(AND(AA23="Correctivo",OR(AA22="Correctivo",AA21="Correctivo")),AN21-(0.2*AN21),IF(OR(AA21="Correctivo",AA22="Correctivo",AA23="Correctivo"),AN21-(0.1*AN21),AN21)))))</f>
        <v>0.8</v>
      </c>
      <c r="AO22" s="103"/>
      <c r="AP22" s="85"/>
      <c r="AQ22" s="65"/>
      <c r="AR22" s="68"/>
      <c r="AS22" s="68"/>
      <c r="AT22" s="35">
        <v>2</v>
      </c>
      <c r="AU22" s="19" t="s">
        <v>105</v>
      </c>
      <c r="AV22" s="18" t="s">
        <v>98</v>
      </c>
      <c r="AW22" s="47" t="s">
        <v>153</v>
      </c>
      <c r="AX22" s="51" t="s">
        <v>101</v>
      </c>
      <c r="AY22" s="56" t="s">
        <v>113</v>
      </c>
      <c r="AZ22" s="19" t="s">
        <v>152</v>
      </c>
      <c r="BA22" s="68"/>
      <c r="BB22" s="60"/>
      <c r="BC22" s="126"/>
    </row>
    <row r="23" spans="1:55" s="29" customFormat="1" ht="128.25" customHeight="1" thickBot="1" x14ac:dyDescent="0.3">
      <c r="A23" s="101"/>
      <c r="B23" s="83"/>
      <c r="C23" s="83"/>
      <c r="D23" s="83"/>
      <c r="E23" s="83"/>
      <c r="F23" s="83"/>
      <c r="G23" s="66"/>
      <c r="H23" s="69"/>
      <c r="I23" s="83"/>
      <c r="J23" s="83"/>
      <c r="K23" s="83"/>
      <c r="L23" s="83"/>
      <c r="M23" s="104"/>
      <c r="N23" s="66"/>
      <c r="O23" s="104"/>
      <c r="P23" s="86"/>
      <c r="Q23" s="66"/>
      <c r="R23" s="83"/>
      <c r="S23" s="83"/>
      <c r="T23" s="120"/>
      <c r="U23" s="36">
        <v>3</v>
      </c>
      <c r="V23" s="18"/>
      <c r="W23" s="20"/>
      <c r="X23" s="20"/>
      <c r="Y23" s="22"/>
      <c r="Z23" s="20"/>
      <c r="AA23" s="37"/>
      <c r="AB23" s="38" t="str">
        <f t="shared" ref="AB23" si="15">+IF(AA23="","",IF(AA23="Preventivo",0.25,IF(AA23="Detectivo",0.15,IF(AA23="Correctivo",0.1,))))</f>
        <v/>
      </c>
      <c r="AC23" s="37"/>
      <c r="AD23" s="38" t="str">
        <f t="shared" si="11"/>
        <v/>
      </c>
      <c r="AE23" s="37"/>
      <c r="AF23" s="38" t="str">
        <f t="shared" si="12"/>
        <v/>
      </c>
      <c r="AG23" s="37"/>
      <c r="AH23" s="38" t="str">
        <f t="shared" si="13"/>
        <v/>
      </c>
      <c r="AI23" s="37"/>
      <c r="AJ23" s="39" t="str">
        <f t="shared" si="14"/>
        <v/>
      </c>
      <c r="AK23" s="39"/>
      <c r="AL23" s="104"/>
      <c r="AM23" s="66"/>
      <c r="AN23" s="40"/>
      <c r="AO23" s="104"/>
      <c r="AP23" s="86"/>
      <c r="AQ23" s="66"/>
      <c r="AR23" s="69"/>
      <c r="AS23" s="69"/>
      <c r="AT23" s="41">
        <v>3</v>
      </c>
      <c r="AU23" s="20" t="s">
        <v>111</v>
      </c>
      <c r="AV23" s="18" t="s">
        <v>98</v>
      </c>
      <c r="AW23" s="47" t="s">
        <v>153</v>
      </c>
      <c r="AX23" s="49" t="s">
        <v>112</v>
      </c>
      <c r="AY23" s="55" t="s">
        <v>104</v>
      </c>
      <c r="AZ23" s="20" t="s">
        <v>152</v>
      </c>
      <c r="BA23" s="69"/>
      <c r="BB23" s="61"/>
      <c r="BC23" s="127"/>
    </row>
  </sheetData>
  <sheetProtection formatCells="0" formatColumns="0" formatRows="0" insertColumns="0" insertRows="0" insertHyperlinks="0" deleteColumns="0" deleteRows="0" sort="0" autoFilter="0" pivotTables="0"/>
  <dataConsolidate/>
  <mergeCells count="119">
    <mergeCell ref="AR21:AR23"/>
    <mergeCell ref="AS21:AS23"/>
    <mergeCell ref="BA21:BA23"/>
    <mergeCell ref="BB21:BB23"/>
    <mergeCell ref="BC21:BC23"/>
    <mergeCell ref="AL21:AL23"/>
    <mergeCell ref="AM21:AM23"/>
    <mergeCell ref="AO21:AO23"/>
    <mergeCell ref="AP21:AP23"/>
    <mergeCell ref="AQ21:AQ23"/>
    <mergeCell ref="P21:P23"/>
    <mergeCell ref="Q21:Q23"/>
    <mergeCell ref="R21:R23"/>
    <mergeCell ref="S21:S23"/>
    <mergeCell ref="T21:T23"/>
    <mergeCell ref="K21:K23"/>
    <mergeCell ref="L21:L23"/>
    <mergeCell ref="M21:M23"/>
    <mergeCell ref="N21:N23"/>
    <mergeCell ref="O21:O23"/>
    <mergeCell ref="F21:F23"/>
    <mergeCell ref="G21:G23"/>
    <mergeCell ref="H21:H23"/>
    <mergeCell ref="I21:I23"/>
    <mergeCell ref="J21:J23"/>
    <mergeCell ref="A21:A23"/>
    <mergeCell ref="B21:B23"/>
    <mergeCell ref="C21:C23"/>
    <mergeCell ref="D21:D23"/>
    <mergeCell ref="E21:E23"/>
    <mergeCell ref="BB18:BB20"/>
    <mergeCell ref="BC18:BC20"/>
    <mergeCell ref="AP18:AP20"/>
    <mergeCell ref="O18:O20"/>
    <mergeCell ref="P18:P20"/>
    <mergeCell ref="Q18:Q20"/>
    <mergeCell ref="R18:R20"/>
    <mergeCell ref="S18:S20"/>
    <mergeCell ref="A15:A17"/>
    <mergeCell ref="T18:T20"/>
    <mergeCell ref="AL18:AL20"/>
    <mergeCell ref="AM18:AM20"/>
    <mergeCell ref="AO18:AO20"/>
    <mergeCell ref="L15:L17"/>
    <mergeCell ref="AO15:AO17"/>
    <mergeCell ref="N18:N20"/>
    <mergeCell ref="AM15:AM17"/>
    <mergeCell ref="AL15:AL17"/>
    <mergeCell ref="R15:R17"/>
    <mergeCell ref="Q15:Q17"/>
    <mergeCell ref="P15:P17"/>
    <mergeCell ref="L18:L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D15:D17"/>
    <mergeCell ref="O15:O17"/>
    <mergeCell ref="B15:B17"/>
    <mergeCell ref="A6:C6"/>
    <mergeCell ref="T15:T17"/>
    <mergeCell ref="AR13:AS13"/>
    <mergeCell ref="BA15:BA17"/>
    <mergeCell ref="H13:L13"/>
    <mergeCell ref="BA13:BA14"/>
    <mergeCell ref="N15:N17"/>
    <mergeCell ref="M15:M17"/>
    <mergeCell ref="H15:H17"/>
    <mergeCell ref="F15:F17"/>
    <mergeCell ref="A8:C8"/>
    <mergeCell ref="A10:C10"/>
    <mergeCell ref="E1:BB2"/>
    <mergeCell ref="E3:BB4"/>
    <mergeCell ref="A18:A20"/>
    <mergeCell ref="B18:B20"/>
    <mergeCell ref="M18:M20"/>
    <mergeCell ref="BC13:BC14"/>
    <mergeCell ref="D6:BC6"/>
    <mergeCell ref="D8:BC8"/>
    <mergeCell ref="D10:BC10"/>
    <mergeCell ref="BC15:BC17"/>
    <mergeCell ref="BA12:BC12"/>
    <mergeCell ref="U13:Z13"/>
    <mergeCell ref="AR15:AR17"/>
    <mergeCell ref="AS15:AS17"/>
    <mergeCell ref="AK13:AQ13"/>
    <mergeCell ref="M13:Q13"/>
    <mergeCell ref="R13:T13"/>
    <mergeCell ref="A13:G13"/>
    <mergeCell ref="I15:I17"/>
    <mergeCell ref="S15:S17"/>
    <mergeCell ref="C15:C17"/>
    <mergeCell ref="J15:J17"/>
    <mergeCell ref="G15:G17"/>
    <mergeCell ref="E15:E17"/>
    <mergeCell ref="A1:D4"/>
    <mergeCell ref="BB15:BB17"/>
    <mergeCell ref="BB13:BB14"/>
    <mergeCell ref="AQ18:AQ20"/>
    <mergeCell ref="AR18:AR20"/>
    <mergeCell ref="AS18:AS20"/>
    <mergeCell ref="BA18:BA20"/>
    <mergeCell ref="A12:Q12"/>
    <mergeCell ref="AT13:AZ13"/>
    <mergeCell ref="M14:N14"/>
    <mergeCell ref="AL14:AM14"/>
    <mergeCell ref="AO14:AP14"/>
    <mergeCell ref="O14:P14"/>
    <mergeCell ref="AE13:AJ13"/>
    <mergeCell ref="AA13:AD13"/>
    <mergeCell ref="R12:AZ12"/>
    <mergeCell ref="K15:K17"/>
    <mergeCell ref="AP15:AP17"/>
    <mergeCell ref="AQ15:AQ17"/>
  </mergeCells>
  <phoneticPr fontId="14" type="noConversion"/>
  <conditionalFormatting sqref="N15">
    <cfRule type="containsText" dxfId="75" priority="176" operator="containsText" text="Muy Baja">
      <formula>NOT(ISERROR(SEARCH("Muy Baja",N15)))</formula>
    </cfRule>
    <cfRule type="containsText" dxfId="74" priority="177" operator="containsText" text="Baja">
      <formula>NOT(ISERROR(SEARCH("Baja",N15)))</formula>
    </cfRule>
    <cfRule type="containsText" dxfId="73" priority="178" operator="containsText" text="Media">
      <formula>NOT(ISERROR(SEARCH("Media",N15)))</formula>
    </cfRule>
    <cfRule type="containsText" dxfId="72" priority="179" operator="containsText" text="Alta">
      <formula>NOT(ISERROR(SEARCH("Alta",N15)))</formula>
    </cfRule>
    <cfRule type="containsText" dxfId="71" priority="180" operator="containsText" text="Muy Alta">
      <formula>NOT(ISERROR(SEARCH("Muy Alta",N15)))</formula>
    </cfRule>
  </conditionalFormatting>
  <conditionalFormatting sqref="N18">
    <cfRule type="containsText" dxfId="70" priority="90" operator="containsText" text="Muy Baja">
      <formula>NOT(ISERROR(SEARCH("Muy Baja",N18)))</formula>
    </cfRule>
    <cfRule type="containsText" dxfId="69" priority="91" operator="containsText" text="Baja">
      <formula>NOT(ISERROR(SEARCH("Baja",N18)))</formula>
    </cfRule>
    <cfRule type="containsText" dxfId="68" priority="92" operator="containsText" text="Media">
      <formula>NOT(ISERROR(SEARCH("Media",N18)))</formula>
    </cfRule>
    <cfRule type="containsText" dxfId="67" priority="93" operator="containsText" text="Alta">
      <formula>NOT(ISERROR(SEARCH("Alta",N18)))</formula>
    </cfRule>
    <cfRule type="containsText" dxfId="66" priority="94" operator="containsText" text="Muy Alta">
      <formula>NOT(ISERROR(SEARCH("Muy Alta",N18)))</formula>
    </cfRule>
  </conditionalFormatting>
  <conditionalFormatting sqref="N21">
    <cfRule type="containsText" dxfId="65" priority="9" operator="containsText" text="Muy Baja">
      <formula>NOT(ISERROR(SEARCH("Muy Baja",N21)))</formula>
    </cfRule>
    <cfRule type="containsText" dxfId="64" priority="10" operator="containsText" text="Baja">
      <formula>NOT(ISERROR(SEARCH("Baja",N21)))</formula>
    </cfRule>
    <cfRule type="containsText" dxfId="63" priority="11" operator="containsText" text="Media">
      <formula>NOT(ISERROR(SEARCH("Media",N21)))</formula>
    </cfRule>
    <cfRule type="containsText" dxfId="62" priority="12" operator="containsText" text="Alta">
      <formula>NOT(ISERROR(SEARCH("Alta",N21)))</formula>
    </cfRule>
    <cfRule type="containsText" dxfId="61" priority="13" operator="containsText" text="Muy Alta">
      <formula>NOT(ISERROR(SEARCH("Muy Alta",N21)))</formula>
    </cfRule>
  </conditionalFormatting>
  <conditionalFormatting sqref="P15">
    <cfRule type="containsText" dxfId="60" priority="206" operator="containsText" text="Leve">
      <formula>NOT(ISERROR(SEARCH("Leve",P15)))</formula>
    </cfRule>
    <cfRule type="containsText" dxfId="59" priority="207" operator="containsText" text="Menor">
      <formula>NOT(ISERROR(SEARCH("Menor",P15)))</formula>
    </cfRule>
    <cfRule type="containsText" dxfId="58" priority="209" operator="containsText" text="Mayor">
      <formula>NOT(ISERROR(SEARCH("Mayor",P15)))</formula>
    </cfRule>
    <cfRule type="containsText" dxfId="57" priority="210" operator="containsText" text="Catastrófico">
      <formula>NOT(ISERROR(SEARCH("Catastrófico",P15)))</formula>
    </cfRule>
  </conditionalFormatting>
  <conditionalFormatting sqref="P18">
    <cfRule type="containsText" dxfId="56" priority="100" operator="containsText" text="Leve">
      <formula>NOT(ISERROR(SEARCH("Leve",P18)))</formula>
    </cfRule>
    <cfRule type="containsText" dxfId="55" priority="101" operator="containsText" text="Menor">
      <formula>NOT(ISERROR(SEARCH("Menor",P18)))</formula>
    </cfRule>
    <cfRule type="containsText" dxfId="54" priority="103" operator="containsText" text="Mayor">
      <formula>NOT(ISERROR(SEARCH("Mayor",P18)))</formula>
    </cfRule>
    <cfRule type="containsText" dxfId="53" priority="104" operator="containsText" text="Catastrófico">
      <formula>NOT(ISERROR(SEARCH("Catastrófico",P18)))</formula>
    </cfRule>
  </conditionalFormatting>
  <conditionalFormatting sqref="P21">
    <cfRule type="containsText" dxfId="52" priority="19" operator="containsText" text="Leve">
      <formula>NOT(ISERROR(SEARCH("Leve",P21)))</formula>
    </cfRule>
    <cfRule type="containsText" dxfId="51" priority="20" operator="containsText" text="Menor">
      <formula>NOT(ISERROR(SEARCH("Menor",P21)))</formula>
    </cfRule>
    <cfRule type="containsText" dxfId="50" priority="22" operator="containsText" text="Mayor">
      <formula>NOT(ISERROR(SEARCH("Mayor",P21)))</formula>
    </cfRule>
    <cfRule type="containsText" dxfId="49" priority="23" operator="containsText" text="Catastrófico">
      <formula>NOT(ISERROR(SEARCH("Catastrófico",P21)))</formula>
    </cfRule>
  </conditionalFormatting>
  <conditionalFormatting sqref="P15:Q15">
    <cfRule type="containsText" dxfId="48" priority="208" operator="containsText" text="Moderado">
      <formula>NOT(ISERROR(SEARCH("Moderado",P15)))</formula>
    </cfRule>
  </conditionalFormatting>
  <conditionalFormatting sqref="P18:Q18">
    <cfRule type="containsText" dxfId="47" priority="102" operator="containsText" text="Moderado">
      <formula>NOT(ISERROR(SEARCH("Moderado",P18)))</formula>
    </cfRule>
  </conditionalFormatting>
  <conditionalFormatting sqref="P21:Q21">
    <cfRule type="containsText" dxfId="46" priority="21" operator="containsText" text="Moderado">
      <formula>NOT(ISERROR(SEARCH("Moderado",P21)))</formula>
    </cfRule>
  </conditionalFormatting>
  <conditionalFormatting sqref="Q15">
    <cfRule type="containsText" dxfId="45" priority="215" operator="containsText" text="Bajo">
      <formula>NOT(ISERROR(SEARCH("Bajo",Q15)))</formula>
    </cfRule>
    <cfRule type="containsText" dxfId="44" priority="217" operator="containsText" text="Alto">
      <formula>NOT(ISERROR(SEARCH("Alto",Q15)))</formula>
    </cfRule>
    <cfRule type="containsText" dxfId="43" priority="218" operator="containsText" text="Extremo">
      <formula>NOT(ISERROR(SEARCH("Extremo",Q15)))</formula>
    </cfRule>
  </conditionalFormatting>
  <conditionalFormatting sqref="Q18">
    <cfRule type="containsText" dxfId="42" priority="105" operator="containsText" text="Bajo">
      <formula>NOT(ISERROR(SEARCH("Bajo",Q18)))</formula>
    </cfRule>
    <cfRule type="containsText" dxfId="41" priority="106" operator="containsText" text="Alto">
      <formula>NOT(ISERROR(SEARCH("Alto",Q18)))</formula>
    </cfRule>
    <cfRule type="containsText" dxfId="40" priority="107" operator="containsText" text="Extremo">
      <formula>NOT(ISERROR(SEARCH("Extremo",Q18)))</formula>
    </cfRule>
  </conditionalFormatting>
  <conditionalFormatting sqref="Q21">
    <cfRule type="containsText" dxfId="39" priority="24" operator="containsText" text="Bajo">
      <formula>NOT(ISERROR(SEARCH("Bajo",Q21)))</formula>
    </cfRule>
    <cfRule type="containsText" dxfId="38" priority="25" operator="containsText" text="Alto">
      <formula>NOT(ISERROR(SEARCH("Alto",Q21)))</formula>
    </cfRule>
    <cfRule type="containsText" dxfId="37" priority="26" operator="containsText" text="Extremo">
      <formula>NOT(ISERROR(SEARCH("Extremo",Q21)))</formula>
    </cfRule>
  </conditionalFormatting>
  <conditionalFormatting sqref="AM15 AN16">
    <cfRule type="containsText" dxfId="36" priority="191" operator="containsText" text="Muy Baja">
      <formula>NOT(ISERROR(SEARCH("Muy Baja",AM15)))</formula>
    </cfRule>
    <cfRule type="containsText" dxfId="35" priority="197" operator="containsText" text="Baja">
      <formula>NOT(ISERROR(SEARCH("Baja",AM15)))</formula>
    </cfRule>
    <cfRule type="containsText" dxfId="34" priority="198" operator="containsText" text="Media">
      <formula>NOT(ISERROR(SEARCH("Media",AM15)))</formula>
    </cfRule>
    <cfRule type="containsText" dxfId="33" priority="199" operator="containsText" text="Alta">
      <formula>NOT(ISERROR(SEARCH("Alta",AM15)))</formula>
    </cfRule>
    <cfRule type="containsText" dxfId="32" priority="200" operator="containsText" text="Muy Alta">
      <formula>NOT(ISERROR(SEARCH("Muy Alta",AM15)))</formula>
    </cfRule>
  </conditionalFormatting>
  <conditionalFormatting sqref="AM18 AN19">
    <cfRule type="containsText" dxfId="31" priority="95" operator="containsText" text="Muy Baja">
      <formula>NOT(ISERROR(SEARCH("Muy Baja",AM18)))</formula>
    </cfRule>
    <cfRule type="containsText" dxfId="30" priority="96" operator="containsText" text="Baja">
      <formula>NOT(ISERROR(SEARCH("Baja",AM18)))</formula>
    </cfRule>
    <cfRule type="containsText" dxfId="29" priority="97" operator="containsText" text="Media">
      <formula>NOT(ISERROR(SEARCH("Media",AM18)))</formula>
    </cfRule>
    <cfRule type="containsText" dxfId="28" priority="98" operator="containsText" text="Alta">
      <formula>NOT(ISERROR(SEARCH("Alta",AM18)))</formula>
    </cfRule>
    <cfRule type="containsText" dxfId="27" priority="99" operator="containsText" text="Muy Alta">
      <formula>NOT(ISERROR(SEARCH("Muy Alta",AM18)))</formula>
    </cfRule>
  </conditionalFormatting>
  <conditionalFormatting sqref="AM21 AN22">
    <cfRule type="containsText" dxfId="26" priority="14" operator="containsText" text="Muy Baja">
      <formula>NOT(ISERROR(SEARCH("Muy Baja",AM21)))</formula>
    </cfRule>
    <cfRule type="containsText" dxfId="25" priority="15" operator="containsText" text="Baja">
      <formula>NOT(ISERROR(SEARCH("Baja",AM21)))</formula>
    </cfRule>
    <cfRule type="containsText" dxfId="24" priority="16" operator="containsText" text="Media">
      <formula>NOT(ISERROR(SEARCH("Media",AM21)))</formula>
    </cfRule>
    <cfRule type="containsText" dxfId="23" priority="17" operator="containsText" text="Alta">
      <formula>NOT(ISERROR(SEARCH("Alta",AM21)))</formula>
    </cfRule>
    <cfRule type="containsText" dxfId="22" priority="18" operator="containsText" text="Muy Alta">
      <formula>NOT(ISERROR(SEARCH("Muy Alta",AM21)))</formula>
    </cfRule>
  </conditionalFormatting>
  <conditionalFormatting sqref="AP15">
    <cfRule type="containsText" dxfId="21" priority="162" operator="containsText" text="Leve">
      <formula>NOT(ISERROR(SEARCH("Leve",AP15)))</formula>
    </cfRule>
    <cfRule type="containsText" dxfId="20" priority="163" operator="containsText" text="Menor">
      <formula>NOT(ISERROR(SEARCH("Menor",AP15)))</formula>
    </cfRule>
    <cfRule type="containsText" dxfId="19" priority="164" operator="containsText" text="Moderado">
      <formula>NOT(ISERROR(SEARCH("Moderado",AP15)))</formula>
    </cfRule>
    <cfRule type="containsText" dxfId="18" priority="165" operator="containsText" text="Mayor">
      <formula>NOT(ISERROR(SEARCH("Mayor",AP15)))</formula>
    </cfRule>
    <cfRule type="containsText" dxfId="17" priority="166" operator="containsText" text="Catastrófico">
      <formula>NOT(ISERROR(SEARCH("Catastrófico",AP15)))</formula>
    </cfRule>
  </conditionalFormatting>
  <conditionalFormatting sqref="AP18">
    <cfRule type="containsText" dxfId="16" priority="81" operator="containsText" text="Leve">
      <formula>NOT(ISERROR(SEARCH("Leve",AP18)))</formula>
    </cfRule>
    <cfRule type="containsText" dxfId="15" priority="82" operator="containsText" text="Menor">
      <formula>NOT(ISERROR(SEARCH("Menor",AP18)))</formula>
    </cfRule>
    <cfRule type="containsText" dxfId="14" priority="84" operator="containsText" text="Mayor">
      <formula>NOT(ISERROR(SEARCH("Mayor",AP18)))</formula>
    </cfRule>
    <cfRule type="containsText" dxfId="13" priority="85" operator="containsText" text="Catastrófico">
      <formula>NOT(ISERROR(SEARCH("Catastrófico",AP18)))</formula>
    </cfRule>
  </conditionalFormatting>
  <conditionalFormatting sqref="AP21">
    <cfRule type="containsText" dxfId="12" priority="1" operator="containsText" text="Leve">
      <formula>NOT(ISERROR(SEARCH("Leve",AP21)))</formula>
    </cfRule>
    <cfRule type="containsText" dxfId="11" priority="2" operator="containsText" text="Menor">
      <formula>NOT(ISERROR(SEARCH("Menor",AP21)))</formula>
    </cfRule>
    <cfRule type="containsText" dxfId="10" priority="4" operator="containsText" text="Mayor">
      <formula>NOT(ISERROR(SEARCH("Mayor",AP21)))</formula>
    </cfRule>
    <cfRule type="containsText" dxfId="9" priority="5" operator="containsText" text="Catastrófico">
      <formula>NOT(ISERROR(SEARCH("Catastrófico",AP21)))</formula>
    </cfRule>
  </conditionalFormatting>
  <conditionalFormatting sqref="AP18:AQ18">
    <cfRule type="containsText" dxfId="8" priority="83" operator="containsText" text="Moderado">
      <formula>NOT(ISERROR(SEARCH("Moderado",AP18)))</formula>
    </cfRule>
  </conditionalFormatting>
  <conditionalFormatting sqref="AP21:AQ21">
    <cfRule type="containsText" dxfId="7" priority="3" operator="containsText" text="Moderado">
      <formula>NOT(ISERROR(SEARCH("Moderado",AP21)))</formula>
    </cfRule>
  </conditionalFormatting>
  <conditionalFormatting sqref="AQ15 AQ18">
    <cfRule type="containsText" dxfId="6" priority="87" operator="containsText" text="Bajo">
      <formula>NOT(ISERROR(SEARCH("Bajo",AQ15)))</formula>
    </cfRule>
    <cfRule type="containsText" dxfId="5" priority="88" operator="containsText" text="Alto">
      <formula>NOT(ISERROR(SEARCH("Alto",AQ15)))</formula>
    </cfRule>
    <cfRule type="containsText" dxfId="4" priority="89" operator="containsText" text="Extremo">
      <formula>NOT(ISERROR(SEARCH("Extremo",AQ15)))</formula>
    </cfRule>
  </conditionalFormatting>
  <conditionalFormatting sqref="AQ15">
    <cfRule type="containsText" dxfId="3" priority="86" operator="containsText" text="Moderado">
      <formula>NOT(ISERROR(SEARCH("Moderado",AQ15)))</formula>
    </cfRule>
  </conditionalFormatting>
  <conditionalFormatting sqref="AQ21">
    <cfRule type="containsText" dxfId="2" priority="6" operator="containsText" text="Bajo">
      <formula>NOT(ISERROR(SEARCH("Bajo",AQ21)))</formula>
    </cfRule>
    <cfRule type="containsText" dxfId="1" priority="7" operator="containsText" text="Alto">
      <formula>NOT(ISERROR(SEARCH("Alto",AQ21)))</formula>
    </cfRule>
    <cfRule type="containsText" dxfId="0" priority="8" operator="containsText" text="Extremo">
      <formula>NOT(ISERROR(SEARCH("Extremo",AQ21)))</formula>
    </cfRule>
  </conditionalFormatting>
  <dataValidations count="17">
    <dataValidation type="list" allowBlank="1" showInputMessage="1" showErrorMessage="1" sqref="AE15:AE23" xr:uid="{00000000-0002-0000-0000-000000000000}">
      <formula1>"Documentado,Sin documentar"</formula1>
    </dataValidation>
    <dataValidation type="list" allowBlank="1" showInputMessage="1" showErrorMessage="1" sqref="AG15:AG23" xr:uid="{00000000-0002-0000-0000-000001000000}">
      <formula1>"Continua,Aleatoria"</formula1>
    </dataValidation>
    <dataValidation type="list" allowBlank="1" showInputMessage="1" showErrorMessage="1" sqref="AI15:AI23" xr:uid="{00000000-0002-0000-0000-000002000000}">
      <formula1>"Con registro,Sin registro"</formula1>
    </dataValidation>
    <dataValidation type="list" allowBlank="1" showInputMessage="1" showErrorMessage="1" sqref="AC15:AC23" xr:uid="{00000000-0002-0000-0000-000003000000}">
      <formula1>"Automático,Manual"</formula1>
    </dataValidation>
    <dataValidation type="list" allowBlank="1" showInputMessage="1" showErrorMessage="1" error="Seleccione un factor de riesgo" sqref="C15:C23" xr:uid="{00000000-0002-0000-0000-000004000000}">
      <formula1>"Procesos,Talento humano,Tecnología,Infraestructura,Evento externo"</formula1>
    </dataValidation>
    <dataValidation type="list" allowBlank="1" showInputMessage="1" showErrorMessage="1" error="Seleccione un area de impacto" sqref="D18:D23" xr:uid="{00000000-0002-0000-0000-000005000000}">
      <formula1>"afectación económica,afectación reputacional,afectación económica y reputacional"</formula1>
    </dataValidation>
    <dataValidation type="list" allowBlank="1" showInputMessage="1" showErrorMessage="1" error="Seleccione una clasificación del riesgo" sqref="J15:J23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error="Seleccione una frecuencia de la actividad en un periodo de un año" sqref="K15:K23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23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23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:S23" xr:uid="{00000000-0002-0000-0000-00000A000000}">
      <formula1>"Si,No"</formula1>
    </dataValidation>
    <dataValidation type="decimal" allowBlank="1" showInputMessage="1" showErrorMessage="1" error="Digite el porcentaje de la cobertura del seguro o póliza" sqref="T15:T23" xr:uid="{00000000-0002-0000-0000-00000B000000}">
      <formula1>0</formula1>
      <formula2>1</formula2>
    </dataValidation>
    <dataValidation type="list" allowBlank="1" showInputMessage="1" showErrorMessage="1" error="Seleccione el tipo de control" sqref="AA15:AA23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AZ15:AZ23" xr:uid="{00000000-0002-0000-0000-00000D000000}">
      <formula1>"En implementación,En ejecución,En seguimiento,Terminado"</formula1>
    </dataValidation>
    <dataValidation type="list" allowBlank="1" showInputMessage="1" showErrorMessage="1" error="Seleccione un tipo de riesgo" sqref="I18:I23" xr:uid="{00000000-0002-0000-0000-00000E000000}">
      <formula1>"Gestión,Corrupción,Seguridad de la Información,Ambiental,Laboral,Fiscal"</formula1>
    </dataValidation>
    <dataValidation type="list" allowBlank="1" showInputMessage="1" showErrorMessage="1" error="Seleccione un area de impacto" sqref="D15:D17" xr:uid="{00000000-0002-0000-0000-00000F000000}">
      <formula1>"afectación económica,afectación reputacional,afectación económica y reputacional,efecto dañoso"</formula1>
    </dataValidation>
    <dataValidation type="list" allowBlank="1" showInputMessage="1" showErrorMessage="1" error="Seleccione un tipo de riesgo" sqref="I15:I17" xr:uid="{00000000-0002-0000-0000-000010000000}">
      <formula1>"Gestión,Corrupción,Seguridad de la Información,Ambiental,Seguridad y Salud en el Trabajo,Fiscal"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SARA LUCIA SLRB. RIVEROS BONILLA</cp:lastModifiedBy>
  <dcterms:created xsi:type="dcterms:W3CDTF">2023-04-12T21:27:57Z</dcterms:created>
  <dcterms:modified xsi:type="dcterms:W3CDTF">2025-06-16T14:46:50Z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2024-02-05T21:13:13Z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910d1dc5-af96-4355-bfaa-78052a61fab1</vt:lpwstr>
  </property>
  <property fmtid="{D5CDD505-2E9C-101B-9397-08002B2CF9AE}" pid="7" name="MSIP_Label_defa4170-0d19-0005-0004-bc88714345d2_ActionId">
    <vt:lpwstr>7d128256-0fcd-4412-a3b6-058703ae5861</vt:lpwstr>
  </property>
  <property fmtid="{D5CDD505-2E9C-101B-9397-08002B2CF9AE}" pid="8" name="MSIP_Label_defa4170-0d19-0005-0004-bc88714345d2_ContentBits">
    <vt:lpwstr>0</vt:lpwstr>
  </property>
</Properties>
</file>