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Users\SRIVEROS\Documents\RIESGOS 2024\MAPAS DE RIESGOS Y OPORTUNIDADES 2024 TERCER SEGUIMIENTO 2024 publicar\"/>
    </mc:Choice>
  </mc:AlternateContent>
  <xr:revisionPtr revIDLastSave="0" documentId="13_ncr:1_{8542FE61-EA2E-462D-B317-AA7DA421257E}" xr6:coauthVersionLast="47" xr6:coauthVersionMax="47" xr10:uidLastSave="{00000000-0000-0000-0000-000000000000}"/>
  <workbookProtection workbookAlgorithmName="SHA-512" workbookHashValue="7FV9QrrMqIO04vwe/v/Ng50WvCB4Tev1DW/raL7lBtS7jHKw6EZvdvtENU3vfZTcpapK4NfcXFTnflsZt5i4wg==" workbookSaltValue="KK0yApDrjIkQnbzpqiIBJg==" workbookSpinCount="100000" lockStructure="1"/>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7" i="1" l="1"/>
  <c r="G30" i="1" l="1"/>
  <c r="P33" i="1"/>
  <c r="P30" i="1"/>
  <c r="O33" i="1"/>
  <c r="O30" i="1"/>
  <c r="AN30" i="1" s="1"/>
  <c r="AN31" i="1" s="1"/>
  <c r="M33" i="1"/>
  <c r="AL33" i="1" s="1"/>
  <c r="AM33" i="1" s="1"/>
  <c r="M30" i="1"/>
  <c r="AL30" i="1" s="1"/>
  <c r="AM30" i="1" s="1"/>
  <c r="Y31" i="1"/>
  <c r="Y32" i="1"/>
  <c r="Y33" i="1"/>
  <c r="Y34" i="1"/>
  <c r="Y35" i="1"/>
  <c r="Y30" i="1"/>
  <c r="G33" i="1"/>
  <c r="G24" i="1"/>
  <c r="Y23" i="1"/>
  <c r="Y17" i="1"/>
  <c r="Y16" i="1"/>
  <c r="Y24" i="1"/>
  <c r="Y25" i="1"/>
  <c r="Y26" i="1"/>
  <c r="Y27" i="1"/>
  <c r="Y28" i="1"/>
  <c r="Y29" i="1"/>
  <c r="G27" i="1"/>
  <c r="Y21" i="1"/>
  <c r="Y22" i="1"/>
  <c r="G21" i="1"/>
  <c r="Y19" i="1"/>
  <c r="Y20" i="1"/>
  <c r="Y18" i="1"/>
  <c r="N30" i="1" l="1"/>
  <c r="Q30" i="1" s="1"/>
  <c r="N33" i="1"/>
  <c r="Q33" i="1"/>
  <c r="AN32" i="1"/>
  <c r="G15" i="1"/>
  <c r="AO30" i="1" l="1"/>
  <c r="AP30" i="1" s="1"/>
  <c r="AQ30" i="1" s="1"/>
  <c r="AN33" i="1"/>
  <c r="AN34" i="1" s="1"/>
  <c r="AJ29" i="1"/>
  <c r="AH29" i="1"/>
  <c r="AF29" i="1"/>
  <c r="AD29" i="1"/>
  <c r="AB29" i="1"/>
  <c r="AJ28" i="1"/>
  <c r="AH28" i="1"/>
  <c r="AF28" i="1"/>
  <c r="AD28" i="1"/>
  <c r="AB28" i="1"/>
  <c r="AJ27" i="1"/>
  <c r="AH27" i="1"/>
  <c r="AF27" i="1"/>
  <c r="AD27" i="1"/>
  <c r="AB27" i="1"/>
  <c r="P27" i="1"/>
  <c r="O27" i="1"/>
  <c r="AN27" i="1" s="1"/>
  <c r="AN28" i="1" s="1"/>
  <c r="AN29" i="1" s="1"/>
  <c r="AO27" i="1" s="1"/>
  <c r="AP27" i="1" s="1"/>
  <c r="M27" i="1"/>
  <c r="AJ26" i="1"/>
  <c r="AH26" i="1"/>
  <c r="AF26" i="1"/>
  <c r="AD26" i="1"/>
  <c r="AB26" i="1"/>
  <c r="AJ25" i="1"/>
  <c r="AH25" i="1"/>
  <c r="AF25" i="1"/>
  <c r="AD25" i="1"/>
  <c r="AB25" i="1"/>
  <c r="AJ24" i="1"/>
  <c r="AH24" i="1"/>
  <c r="AF24" i="1"/>
  <c r="AD24" i="1"/>
  <c r="AB24" i="1"/>
  <c r="P24" i="1"/>
  <c r="O24" i="1"/>
  <c r="AN24" i="1" s="1"/>
  <c r="AN25" i="1" s="1"/>
  <c r="AN26" i="1" s="1"/>
  <c r="AO24" i="1" s="1"/>
  <c r="AP24" i="1" s="1"/>
  <c r="M24" i="1"/>
  <c r="N24" i="1" s="1"/>
  <c r="AN35" i="1" l="1"/>
  <c r="AO33" i="1" s="1"/>
  <c r="N27" i="1"/>
  <c r="Q27" i="1" s="1"/>
  <c r="Q24" i="1"/>
  <c r="AK24" i="1"/>
  <c r="AK25" i="1" s="1"/>
  <c r="AK26" i="1" s="1"/>
  <c r="AL24" i="1" s="1"/>
  <c r="AK27" i="1"/>
  <c r="AK28" i="1" s="1"/>
  <c r="AK29" i="1" s="1"/>
  <c r="AP33" i="1" l="1"/>
  <c r="AQ33" i="1" s="1"/>
  <c r="AM24" i="1"/>
  <c r="AQ24" i="1" s="1"/>
  <c r="AM27" i="1" l="1"/>
  <c r="AQ27" i="1" s="1"/>
  <c r="Y15" i="1"/>
  <c r="G18" i="1" l="1"/>
  <c r="AJ23" i="1" l="1"/>
  <c r="AH23" i="1"/>
  <c r="AF23" i="1"/>
  <c r="AD23" i="1"/>
  <c r="AB23" i="1"/>
  <c r="AJ22" i="1"/>
  <c r="AH22" i="1"/>
  <c r="AF22" i="1"/>
  <c r="AD22" i="1"/>
  <c r="AB22" i="1"/>
  <c r="AJ21" i="1"/>
  <c r="AH21" i="1"/>
  <c r="AF21" i="1"/>
  <c r="AD21" i="1"/>
  <c r="AB21" i="1"/>
  <c r="P21" i="1"/>
  <c r="O21" i="1"/>
  <c r="AN21" i="1" s="1"/>
  <c r="AN22" i="1" s="1"/>
  <c r="AN23" i="1" s="1"/>
  <c r="M21" i="1"/>
  <c r="AJ20" i="1"/>
  <c r="AH20" i="1"/>
  <c r="AF20" i="1"/>
  <c r="AD20" i="1"/>
  <c r="AB20" i="1"/>
  <c r="AJ19" i="1"/>
  <c r="AH19" i="1"/>
  <c r="AF19" i="1"/>
  <c r="AD19" i="1"/>
  <c r="AB19" i="1"/>
  <c r="AJ18" i="1"/>
  <c r="AH18" i="1"/>
  <c r="AF18" i="1"/>
  <c r="AD18" i="1"/>
  <c r="AB18" i="1"/>
  <c r="P18" i="1"/>
  <c r="O18" i="1"/>
  <c r="AN18" i="1" s="1"/>
  <c r="AN19" i="1" s="1"/>
  <c r="M18" i="1"/>
  <c r="N21" i="1" l="1"/>
  <c r="Q21" i="1"/>
  <c r="AO21" i="1"/>
  <c r="AP21" i="1" s="1"/>
  <c r="AK21" i="1"/>
  <c r="AK22" i="1" s="1"/>
  <c r="AK23" i="1" s="1"/>
  <c r="AN20" i="1"/>
  <c r="AO18" i="1" s="1"/>
  <c r="AP18" i="1" s="1"/>
  <c r="AK18" i="1"/>
  <c r="N18" i="1"/>
  <c r="Q18" i="1" s="1"/>
  <c r="AL21" i="1" l="1"/>
  <c r="AM21" i="1" s="1"/>
  <c r="AK19" i="1"/>
  <c r="AK20" i="1" s="1"/>
  <c r="AL18" i="1" l="1"/>
  <c r="AM18" i="1" s="1"/>
  <c r="AQ21" i="1"/>
  <c r="AJ17" i="1"/>
  <c r="AJ16" i="1"/>
  <c r="AJ15" i="1"/>
  <c r="AH15" i="1"/>
  <c r="AF15" i="1"/>
  <c r="AD15" i="1"/>
  <c r="P15" i="1"/>
  <c r="O15" i="1"/>
  <c r="M15" i="1"/>
  <c r="N15" i="1" s="1"/>
  <c r="AQ18" i="1" l="1"/>
  <c r="AN15" i="1"/>
  <c r="AN16" i="1" s="1"/>
  <c r="AN17" i="1" s="1"/>
  <c r="Q15" i="1"/>
  <c r="AK15" i="1"/>
  <c r="AO15" i="1" l="1"/>
  <c r="AP15" i="1" s="1"/>
  <c r="AK16" i="1"/>
  <c r="AK17" i="1" s="1"/>
  <c r="AL15" i="1" l="1"/>
  <c r="AM15" i="1" l="1"/>
  <c r="AQ15" i="1" s="1"/>
</calcChain>
</file>

<file path=xl/sharedStrings.xml><?xml version="1.0" encoding="utf-8"?>
<sst xmlns="http://schemas.openxmlformats.org/spreadsheetml/2006/main" count="487" uniqueCount="259">
  <si>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</si>
  <si>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</si>
  <si>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</si>
  <si>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</si>
  <si>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</si>
  <si>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</si>
  <si>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</si>
  <si>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</si>
  <si>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</si>
  <si>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</si>
  <si>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</si>
  <si>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</si>
  <si>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</si>
  <si>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</si>
  <si>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</si>
  <si>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</si>
  <si>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</si>
  <si>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</si>
  <si>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</si>
  <si>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</si>
  <si>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</si>
  <si>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</si>
  <si>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</si>
  <si>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</si>
  <si>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</si>
  <si>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</si>
  <si>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</si>
  <si>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</si>
  <si>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</si>
  <si>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</si>
  <si>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</si>
  <si>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</si>
  <si>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</si>
  <si>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</si>
  <si>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</si>
  <si>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</si>
  <si>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</si>
  <si>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</si>
  <si>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</si>
  <si>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</si>
  <si>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</si>
  <si>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</si>
  <si>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</si>
  <si>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</si>
  <si>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</si>
  <si>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</si>
  <si>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</si>
  <si>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</si>
  <si>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</si>
  <si>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</si>
  <si>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</si>
  <si>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</si>
  <si>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</si>
  <si>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</si>
  <si>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</si>
  <si>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</si>
  <si>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</si>
  <si>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</si>
  <si>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</si>
  <si>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</si>
  <si>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</si>
  <si>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</si>
  <si>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</si>
  <si>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</si>
  <si>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</si>
  <si>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Vigente desde: 2023/05/04</t>
  </si>
  <si>
    <t>Procesos</t>
  </si>
  <si>
    <t>afectación económica y reputacional</t>
  </si>
  <si>
    <t>Gestión</t>
  </si>
  <si>
    <t>Usuarios, productos y prácticas</t>
  </si>
  <si>
    <t>Evitar</t>
  </si>
  <si>
    <t>No</t>
  </si>
  <si>
    <t>Preventivo</t>
  </si>
  <si>
    <t>Manual</t>
  </si>
  <si>
    <t>Documentado</t>
  </si>
  <si>
    <t>Continua</t>
  </si>
  <si>
    <t>Con registro</t>
  </si>
  <si>
    <t>META</t>
  </si>
  <si>
    <t>AVANCE</t>
  </si>
  <si>
    <t>ACCIONES</t>
  </si>
  <si>
    <t>afectación económica</t>
  </si>
  <si>
    <t>Fiscal</t>
  </si>
  <si>
    <t>Entre 24 a 500 veces</t>
  </si>
  <si>
    <t>Reducir</t>
  </si>
  <si>
    <t>Correctivo</t>
  </si>
  <si>
    <t>abril a junio del 2024</t>
  </si>
  <si>
    <t>Aleatoria</t>
  </si>
  <si>
    <t>R4</t>
  </si>
  <si>
    <t>R5</t>
  </si>
  <si>
    <t>Daños a activos fijos/eventos externos</t>
  </si>
  <si>
    <t>Entre 50 y 100 SMLMV o afectación con algunos usuarios</t>
  </si>
  <si>
    <t>Detectivo</t>
  </si>
  <si>
    <t>Infraestructura</t>
  </si>
  <si>
    <t>Sin documentar</t>
  </si>
  <si>
    <t xml:space="preserve">GESTIÓN DE RECURSOS FÍSICOS </t>
  </si>
  <si>
    <t xml:space="preserve"> Almacenista General
</t>
  </si>
  <si>
    <t xml:space="preserve">Desarrollar actividades que contribuyan con el manejo y control del almacén general, así como la salvaguarda y custodia de los bienes muebles e inmuebles que son de propiedad del Instituto de Financiamiento, Promoción y Desarrollo de Ibagué INFIBAGUÉ, con el fin de garantizar el suministro oportuno de los elementos necesarios para el normal funcionamiento de las diferentes dependencias y la prestación de los servicios.
</t>
  </si>
  <si>
    <t>Incumplimiento de condiciones de calidad de bienes suministrados a la entidad.</t>
  </si>
  <si>
    <t xml:space="preserve">atraso en los procesos de las área, deficiencias en los resultados de los trabajos realizados, </t>
  </si>
  <si>
    <t>se presenten fallas en la calidad en bienes y elementos suministrados al instituto.</t>
  </si>
  <si>
    <t xml:space="preserve">La almacenista general y su equipo de trabajo </t>
  </si>
  <si>
    <t xml:space="preserve">para realizar control posterior a las entregas que realicen los proveedores. </t>
  </si>
  <si>
    <t>1. Estudios previos con mayor claridad en las  especificaciones técnicas de los bienes a adquirir, cumpliendo con requisitos normativos de colombia compra eficiente y el estatuto general para la contratación en la amdinistración pública. 
2. Mejoramiento de imagen institucional 
3. Cumplimiento efectivo en la prestación del servicio</t>
  </si>
  <si>
    <t>1. Estudios Previos 
2. Fichas técnicas</t>
  </si>
  <si>
    <t xml:space="preserve">con el fin de cambiarlos a los requeridos según especificaciones técnicas y de calidad. </t>
  </si>
  <si>
    <t xml:space="preserve">Humanos, logísticos, papelería, tecnológicos </t>
  </si>
  <si>
    <t xml:space="preserve">* Registro fotográfico 
*Entrada al almacén
</t>
  </si>
  <si>
    <t>Almacenista general y su equipo de trabajo</t>
  </si>
  <si>
    <t xml:space="preserve">verificación del total de los bienes y elementos </t>
  </si>
  <si>
    <t>Entregar el 90% de los bienes requeridos por funcionarios y personal de apoyo del Instituto.</t>
  </si>
  <si>
    <t>* Registro de oficios enviado o devoluciones realizadas</t>
  </si>
  <si>
    <t xml:space="preserve">Reportar el 100% de los bienes y elementos que se evidencien defectuosos. </t>
  </si>
  <si>
    <t>*  Registro documental
*Registro fotográfico</t>
  </si>
  <si>
    <t xml:space="preserve">Recepcionar el 100% de las devoluciones y dar trámite para cambio del elemento. </t>
  </si>
  <si>
    <t>Deficiencias en los espacios para el almacenamiento del inventario.</t>
  </si>
  <si>
    <t xml:space="preserve">daño o deterioro del inventario </t>
  </si>
  <si>
    <t>deficiencias locativas en los sitios de almacenamiento.</t>
  </si>
  <si>
    <t xml:space="preserve">1. Modernización locativa del almacén general.
2. Traslado del Almacén General.
3. Mejoramiento de imagen institucional y condiciones laborales, para el equipo humano encargado del manejo del inventario.
</t>
  </si>
  <si>
    <t>para la habilitación de nuevos espacios</t>
  </si>
  <si>
    <t xml:space="preserve">con el fin de liberar espacio para nuevo inventario </t>
  </si>
  <si>
    <t xml:space="preserve">1. Comunicaciones internas a la alta gerencia. 
2. Plan Anual de Adquisiciones. 
</t>
  </si>
  <si>
    <t>solicitará a la alta gerencia la inversión de recursos en el mantenimiento del Almacén General</t>
  </si>
  <si>
    <t xml:space="preserve">adelantará el proceso precontractual para dar de baja el inventario obsoleto </t>
  </si>
  <si>
    <t xml:space="preserve">realizará verificación y optimización de los espacios de almacenamiento existentes </t>
  </si>
  <si>
    <t xml:space="preserve">1.  Registro fotográfico.
</t>
  </si>
  <si>
    <t xml:space="preserve">1. Documentos precontractuales. 
2. Reportes de inventario.
3. Comunicaciones internas. </t>
  </si>
  <si>
    <t xml:space="preserve"> para ampliar la capacidad de almacenamiento del Instituto</t>
  </si>
  <si>
    <t xml:space="preserve">entrega incorrecta de elementos a los funcionarios del Instituto  </t>
  </si>
  <si>
    <t xml:space="preserve"> desactualización de información </t>
  </si>
  <si>
    <t xml:space="preserve">1. Control de entrega de los bienes de la entidad. 
2. Actualización en la sistematización de procedimientos. 
3. Satisfacción de los grupos de valor internos. 
4. Adecuada prestación de los servicios por parte del Instituto </t>
  </si>
  <si>
    <t>Fallas tecnológicas</t>
  </si>
  <si>
    <t>Entre 3 a 24 veces</t>
  </si>
  <si>
    <t>Entre 10 y 50 SMLMV o afectación interna</t>
  </si>
  <si>
    <t xml:space="preserve">Humanos,  papelería, tecnológicos </t>
  </si>
  <si>
    <t xml:space="preserve"> * Registro fotográfico
Registro de asistencia</t>
  </si>
  <si>
    <t>* Reportes contables y de inventario</t>
  </si>
  <si>
    <t xml:space="preserve">aumentar en un 50% los controles </t>
  </si>
  <si>
    <t>Coincidir en al menos el 90% del valor de los activos entre el almacén y la oficina de contabilidad</t>
  </si>
  <si>
    <t xml:space="preserve">Aumentar al menos el 10% de capacidad de almacenamiento inventario anual. </t>
  </si>
  <si>
    <t xml:space="preserve">pérdida, robo o daño de recursos físicos de la entidad </t>
  </si>
  <si>
    <t xml:space="preserve">Afectación de los activos de la entidad </t>
  </si>
  <si>
    <t>Evento externo</t>
  </si>
  <si>
    <t>Corrupción</t>
  </si>
  <si>
    <t xml:space="preserve">deterioro de los inmuebles </t>
  </si>
  <si>
    <t>recursos insuficientes para un adecuado mantenimiento que cubra la totalidad de la necesidad</t>
  </si>
  <si>
    <t xml:space="preserve">Deterioro de activos e impacto en el recaudo por concepto de arrendamientos. </t>
  </si>
  <si>
    <t xml:space="preserve">1. Modernización de instalaciones. 
2. Satisfacción de usuarios, grupos de valor y personas interesadas. 
3. Mayor ingreso de recursos por conceptos de arrendamientos y/o venta de inmuebles. 
4. Valorización de activos. 
</t>
  </si>
  <si>
    <t>Mas de 5000 veces</t>
  </si>
  <si>
    <t>1. Circulares enviadas</t>
  </si>
  <si>
    <t xml:space="preserve">1. Actas de comité inmobiliario 
2. Comunicaciones internas </t>
  </si>
  <si>
    <t>Solicitará ante comités inmobiliarios y la alta gerencia, los requerimientos necesarios para reducir el deterioro de los inmuebles</t>
  </si>
  <si>
    <t>realizará seguimiento a las condiciones de los inmuebles propiedad o bajo administración de la entidad.</t>
  </si>
  <si>
    <t xml:space="preserve">1. actas de visitas de inspección a inmuebles. 
2. Reportes de personas interesadas y/o grupos de valor. </t>
  </si>
  <si>
    <t xml:space="preserve">continuará la actualización de la  codificación en área física de los elementos </t>
  </si>
  <si>
    <t>conforme a códigos manejados en  software  de inventarios  interface con contabilidad.</t>
  </si>
  <si>
    <t>1. Registro fotográfico
2. Registro de asistencia</t>
  </si>
  <si>
    <t xml:space="preserve">Enviar al menos 1 comunicación rindiendo informes actualizado de las necesidades locativas para el almacenamieno del inventario. </t>
  </si>
  <si>
    <t xml:space="preserve">Humanos, logísticos </t>
  </si>
  <si>
    <t xml:space="preserve">*Acta de comité de bajas 
* Inventario de elementos </t>
  </si>
  <si>
    <t xml:space="preserve">verificar al menos 1 vez al mes los reportes contable </t>
  </si>
  <si>
    <t xml:space="preserve">Deficiencia en las entrega de elementos a fucionarios. </t>
  </si>
  <si>
    <t>verificará los comprobantes de salida de inventario</t>
  </si>
  <si>
    <t xml:space="preserve"> para validar códigos </t>
  </si>
  <si>
    <t xml:space="preserve">1. Comprobante.
2. Reportes documentados en caso de hallar incongruencias. </t>
  </si>
  <si>
    <t>solicitará a los respectivos supervisores de contrato el requerimiento por garantía de los insumos que resulten defectuosos.</t>
  </si>
  <si>
    <t xml:space="preserve">1. Comunicaciones internas de solicitud de cambios por garantía 
2. Devoluciones </t>
  </si>
  <si>
    <t xml:space="preserve">Verificará las fichas técnicas de los elementos e insumos que se entreguen al almacén </t>
  </si>
  <si>
    <t xml:space="preserve">con el fin de verificar las condiciones de llegada de los mismos. </t>
  </si>
  <si>
    <t xml:space="preserve">1. Entradas al almacén 
2. Registro fotográfico 
3. Comunicaciones internas </t>
  </si>
  <si>
    <t>Sin registro</t>
  </si>
  <si>
    <t xml:space="preserve">diligenciará formato de actualización y verificación de bienes
</t>
  </si>
  <si>
    <t xml:space="preserve">para  documentar cambios en la información </t>
  </si>
  <si>
    <t>1. Formato diligenciado.</t>
  </si>
  <si>
    <t xml:space="preserve">enviar circulares periódicas a los encargados del proceso de vigilancia de la entidad </t>
  </si>
  <si>
    <t>para mayor control de las entradas y salidas de materiales, insumos o equipos.</t>
  </si>
  <si>
    <t>realizarán la actualización de  responsabilidades y verificación periódica de los bienes del instituto</t>
  </si>
  <si>
    <t xml:space="preserve"> para tener el control los bienes muebles e inmuebles</t>
  </si>
  <si>
    <t xml:space="preserve">1. formato actualizaciones de  las responsabilidades de los bienes a cargo de los funcionarios del instituto.
2. Acta de visita de inspección de inmuebles  </t>
  </si>
  <si>
    <t xml:space="preserve">realizará reportes sobre novedades presentadas en cuanto a pérdida de inventario al área competente. </t>
  </si>
  <si>
    <t xml:space="preserve">para que se realice el debido proceso de denuncia </t>
  </si>
  <si>
    <t xml:space="preserve">1. Oficio de remisión de reporte de novedad.
2. Registro fotográfico  </t>
  </si>
  <si>
    <t>febrero a junio del 2024</t>
  </si>
  <si>
    <t xml:space="preserve">* Comunicaciones internas
*listados de asistencia
*registros fotográficos </t>
  </si>
  <si>
    <t xml:space="preserve">Realizarán el reporte continuo de alertas a las áreas participantes en proceso de custodia de activos. </t>
  </si>
  <si>
    <t xml:space="preserve">Disminuir  hasta en 10 eventos de daño, hurto o pérdida de los activos de la entidad, por año. </t>
  </si>
  <si>
    <t xml:space="preserve">* Formato de responsabilidades </t>
  </si>
  <si>
    <t xml:space="preserve">Actualizar el 100% de las responsabilidades del mobiliario de la entidad. </t>
  </si>
  <si>
    <t xml:space="preserve">* Comunicaciones internas.
* Informes 
* Registros fotográficos </t>
  </si>
  <si>
    <t xml:space="preserve">Realizará al menos 1 inspección por mes al inventario con responsabilidades compartidas con otras áreas, verificando su estado. </t>
  </si>
  <si>
    <t>marzo a junio del 2024</t>
  </si>
  <si>
    <t xml:space="preserve">* Formatos </t>
  </si>
  <si>
    <t xml:space="preserve">Revisar el 100% de los formatos. </t>
  </si>
  <si>
    <t xml:space="preserve">con el fin de cumplir normativamente con las condiciones locativas </t>
  </si>
  <si>
    <t xml:space="preserve">con el fin de prevenir deterioro acleerado de los inmuebles, y cumplir normativamente , satisfaciendos las necesidades de usuarios y arrendatarios. </t>
  </si>
  <si>
    <t xml:space="preserve"> para contar con el diagnóstico de las necesidades en cada uno. </t>
  </si>
  <si>
    <t xml:space="preserve">1. Actas de comimté inmobiliario. 
2. Solicitudes de interesados. 
3. Registro fotográfico. 
4. Conceptos técnicos. </t>
  </si>
  <si>
    <t xml:space="preserve">Realizar inversiones en mejoramiento de  inmuebles de al menos $300.000.000 anual </t>
  </si>
  <si>
    <t>enero a junio del 2024</t>
  </si>
  <si>
    <t>* informes técnicos y presupuestales
* actas de comité inmobiliario
* comunicaciones internas y esternas</t>
  </si>
  <si>
    <t>Realizar visita al 100% de los inmuebles del instituto ubicados en la ciudad de Ibagué.</t>
  </si>
  <si>
    <t>enero a diciembre del 2024</t>
  </si>
  <si>
    <t xml:space="preserve">*comunicaciones internas y externas </t>
  </si>
  <si>
    <t xml:space="preserve">Tramitar y dar respuesta al 100% de solicitudes. </t>
  </si>
  <si>
    <t xml:space="preserve"> falta de controles en la vigilancia, debilidades en los
controles establecidos para la
custodia de bienes, recibo y traslado
de los mismos a las diferentes
dependencias de INFIBAGUE que lo
requieran, Falta de vigilancia en el ingreso de personal, Acceso de personal ajeno al Instituto para los inmuebles arrendados o en comodato</t>
  </si>
  <si>
    <t xml:space="preserve">1. Incremento en la seguridad .
2. Identificación plena y actualización de inventario. 
3. Aplicación de procesos de salida y control de inventarios. 
4. Coordinación y parametrización interdepedencias. 
5. Implementación de formatos en el SIG </t>
  </si>
  <si>
    <t>R6</t>
  </si>
  <si>
    <t>R7</t>
  </si>
  <si>
    <t>deficiencias en la identificación e
individualización de activos fijos de la
entidad</t>
  </si>
  <si>
    <t xml:space="preserve"> diferencias
entre saldos reportados por almacén
frente a los valores reflejados en
estados financieros, tanto para inventario de bienes como activos fijos</t>
  </si>
  <si>
    <t xml:space="preserve">fallas o deficiencias en cruces contables y/o conciliaciones  </t>
  </si>
  <si>
    <t xml:space="preserve">Inventarios en estados financieros </t>
  </si>
  <si>
    <t xml:space="preserve">La almacenista general y el grupo contable  </t>
  </si>
  <si>
    <t xml:space="preserve">1. Implementación de tecnología para los procesos y procedimientos internos 
2.Inventario actualizado 
3. Agilidad en la prestación de los servicios y atención a usuarios </t>
  </si>
  <si>
    <t xml:space="preserve">1. Implementación de herramientas tecnológica para el manejo de la información
2. Parametrización en tiempo real de inventarios vs estados financieros </t>
  </si>
  <si>
    <t>Seguridad de la Información</t>
  </si>
  <si>
    <t>Ejecución y administración de procesos</t>
  </si>
  <si>
    <t>Entre 500 a 5000 veces</t>
  </si>
  <si>
    <t>realizan cruces
mensuales con contabilidad y se
levanta un acta de
conciliación</t>
  </si>
  <si>
    <t xml:space="preserve"> con el fin de identificar e individualizar los activos fijos de la entidad </t>
  </si>
  <si>
    <t xml:space="preserve">1. acta de conciliación 
2. Registro de asistencia </t>
  </si>
  <si>
    <t xml:space="preserve"> a fin de conciliar saldos en estado financieros con inventario y activos fijos  </t>
  </si>
  <si>
    <t xml:space="preserve">Activos fijos e inventario identificados / Activos fijos e inventario total </t>
  </si>
  <si>
    <t xml:space="preserve">abril a diciembre de 2024 </t>
  </si>
  <si>
    <t xml:space="preserve">* Software 
* actas de conciliación
* inventario  </t>
  </si>
  <si>
    <t xml:space="preserve">* formato aprobado por el CIGD </t>
  </si>
  <si>
    <t>identificación del 100% de los activos fijos de la entidad</t>
  </si>
  <si>
    <t xml:space="preserve">(Dirección Administrativa - Grupo d egestión humana) Almacenista general y su equipo de trabajo y grupo gestión contable </t>
  </si>
  <si>
    <t xml:space="preserve">capacitar al 100% del personal relacionado con el proceso </t>
  </si>
  <si>
    <t xml:space="preserve">Saldos de almacén / estados financieros </t>
  </si>
  <si>
    <t xml:space="preserve">* Registros de asistencia </t>
  </si>
  <si>
    <t xml:space="preserve">(Dirección Administrativa - Grupo de gestión tecnológica) Almacenista general y su equipo de trabajo y grupo gestión contable </t>
  </si>
  <si>
    <t xml:space="preserve">formato implementado </t>
  </si>
  <si>
    <t xml:space="preserve">  m </t>
  </si>
  <si>
    <t>Entre 100 y 500 SMLMV o fectación a nivel municipal/departamental</t>
  </si>
  <si>
    <t xml:space="preserve">deberán formular criterios técnicos claros y precisos considerando todas la condicones de calidad, suficiencia, y relación costo beneficios </t>
  </si>
  <si>
    <t>En ejecución</t>
  </si>
  <si>
    <t xml:space="preserve">Oficina de gestión de riesgos </t>
  </si>
  <si>
    <t>En implementación</t>
  </si>
  <si>
    <t>Entregar 1  informe con el detalles de las necesidades diagnósticadas. (plan de mantenimiento)</t>
  </si>
  <si>
    <t>realizan  cruces
mensuales con contabiiidad
Levantamos un acta de
conciliación</t>
  </si>
  <si>
    <t xml:space="preserve"> la no aplicación de procedimientos técnicos contables y
administrativos </t>
  </si>
  <si>
    <t xml:space="preserve">1. acta de conciliación (mensual)
2. Registro de asistencia </t>
  </si>
  <si>
    <t xml:space="preserve">Identificación de activos fijos de la entidad </t>
  </si>
  <si>
    <t>relizaran mesa de trabajo con las dependencias que presentan las necesidades de despacho de elementos</t>
  </si>
  <si>
    <t xml:space="preserve"> con el fin de definir las rutas de manejo para los sobrantes y/o saldos de inventario.</t>
  </si>
  <si>
    <t>1. Acta de mesa de trabajo 
2. Registro de asistencia</t>
  </si>
  <si>
    <t xml:space="preserve">*plataformas virtuales
* mesas de trabajo 
* comunicaciones internas 
</t>
  </si>
  <si>
    <t xml:space="preserve">Mejoramiento de la herramienta tecnológica implementada </t>
  </si>
  <si>
    <t xml:space="preserve">julio a diciembre del 2024 </t>
  </si>
  <si>
    <t xml:space="preserve"> Almacenista general y su equipo de trabajo y Dependencias interesadas </t>
  </si>
  <si>
    <t>Mesa de trabajo, acta y compromisos</t>
  </si>
  <si>
    <t>*  Registro documental
* Comunicaciones internas 
*Registro fotográfico</t>
  </si>
  <si>
    <t xml:space="preserve">Se realizará al menos 1  inventario total anual </t>
  </si>
  <si>
    <t>En seguimiento</t>
  </si>
  <si>
    <t>pondrá en consideración del comité inmobiliario la posibilidad de realizar inversiones en gestión compartida o a través de cruces con cánones de arrendamiento en algunos casos</t>
  </si>
  <si>
    <t xml:space="preserve">* registro fotográficos y/o de asistencia 
* Comunicaciones internas y/o externas 
* Certificaciones 
</t>
  </si>
  <si>
    <t xml:space="preserve"> noviembre a diciembre 2024</t>
  </si>
  <si>
    <t>Terminado</t>
  </si>
  <si>
    <t>el valor contratado para el 2024 es de 80 millones para bienes y inmuebles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</si>
</sst>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0"/>
      <color theme="1"/>
      <name val="Arial"/>
      <family val="2"/>
    </font>
    <font>
      <sz val="12"/>
      <name val="Arial"/>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73">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9" fontId="6" fillId="5" borderId="1" xfId="1"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9" fontId="6" fillId="5" borderId="8" xfId="1"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9" fontId="6" fillId="0" borderId="5" xfId="1" applyFont="1" applyBorder="1" applyAlignment="1" applyProtection="1">
      <alignment horizontal="center" vertical="center" wrapText="1"/>
      <protection locked="0"/>
    </xf>
    <xf numFmtId="17" fontId="6" fillId="0" borderId="1" xfId="0" applyNumberFormat="1" applyFont="1" applyBorder="1" applyAlignment="1" applyProtection="1">
      <alignment horizontal="center" vertical="center" wrapText="1"/>
      <protection locked="0"/>
    </xf>
    <xf numFmtId="0" fontId="9" fillId="4" borderId="33" xfId="0" applyFont="1" applyFill="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17" fontId="6" fillId="0" borderId="5" xfId="0" applyNumberFormat="1" applyFont="1" applyBorder="1" applyAlignment="1" applyProtection="1">
      <alignment vertical="center" wrapText="1"/>
      <protection locked="0"/>
    </xf>
    <xf numFmtId="0" fontId="6"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protection locked="0"/>
    </xf>
    <xf numFmtId="0" fontId="9" fillId="4" borderId="13" xfId="0" applyFont="1" applyFill="1" applyBorder="1" applyAlignment="1">
      <alignment horizontal="center" vertical="center" wrapText="1"/>
    </xf>
    <xf numFmtId="0" fontId="9" fillId="4" borderId="34"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pplyProtection="1">
      <alignment horizontal="center" wrapText="1"/>
      <protection locked="0"/>
    </xf>
    <xf numFmtId="0" fontId="6" fillId="0" borderId="2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5" borderId="34" xfId="0" applyFont="1" applyFill="1" applyBorder="1" applyAlignment="1">
      <alignment horizontal="center" vertical="center" wrapText="1"/>
    </xf>
    <xf numFmtId="0" fontId="6" fillId="0" borderId="20" xfId="0" applyFont="1" applyBorder="1" applyAlignment="1">
      <alignment horizontal="center" vertical="center" wrapText="1"/>
    </xf>
    <xf numFmtId="0" fontId="6" fillId="0" borderId="34" xfId="0" applyFont="1" applyBorder="1" applyAlignment="1" applyProtection="1">
      <alignment horizontal="center" vertical="center" textRotation="90" wrapText="1"/>
      <protection locked="0"/>
    </xf>
    <xf numFmtId="9" fontId="6" fillId="5" borderId="34" xfId="1" applyFont="1" applyFill="1" applyBorder="1" applyAlignment="1" applyProtection="1">
      <alignment horizontal="center" vertical="center" wrapText="1"/>
      <protection hidden="1"/>
    </xf>
    <xf numFmtId="9" fontId="6" fillId="5" borderId="34" xfId="1" applyFont="1" applyFill="1" applyBorder="1" applyAlignment="1" applyProtection="1">
      <alignment horizontal="center" vertical="center" wrapText="1"/>
      <protection locked="0"/>
    </xf>
    <xf numFmtId="9" fontId="6" fillId="5" borderId="34" xfId="1" applyFont="1" applyFill="1" applyBorder="1" applyAlignment="1" applyProtection="1">
      <alignment horizontal="center" vertical="center" wrapText="1"/>
    </xf>
    <xf numFmtId="0" fontId="6" fillId="0" borderId="1" xfId="0" applyFont="1" applyBorder="1"/>
    <xf numFmtId="0" fontId="6" fillId="0" borderId="1" xfId="0" applyFont="1" applyBorder="1" applyAlignment="1">
      <alignment wrapText="1"/>
    </xf>
    <xf numFmtId="0" fontId="6" fillId="0" borderId="1" xfId="0" applyFont="1" applyBorder="1" applyAlignment="1">
      <alignment horizontal="center" vertical="center"/>
    </xf>
    <xf numFmtId="9" fontId="6" fillId="0" borderId="1" xfId="0" applyNumberFormat="1" applyFont="1" applyBorder="1" applyAlignment="1" applyProtection="1">
      <alignment horizontal="center" vertical="center" wrapText="1"/>
      <protection locked="0"/>
    </xf>
    <xf numFmtId="9" fontId="6" fillId="0" borderId="34" xfId="0" applyNumberFormat="1" applyFont="1"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9" fontId="6" fillId="0" borderId="1" xfId="0" applyNumberFormat="1" applyFont="1" applyBorder="1" applyAlignment="1">
      <alignment horizontal="center" vertical="center"/>
    </xf>
    <xf numFmtId="0" fontId="14" fillId="3" borderId="5" xfId="0" quotePrefix="1" applyFont="1" applyFill="1" applyBorder="1" applyAlignment="1" applyProtection="1">
      <alignment horizontal="center" vertical="center" wrapText="1"/>
      <protection locked="0"/>
    </xf>
    <xf numFmtId="0" fontId="17" fillId="3" borderId="5" xfId="0" quotePrefix="1" applyFont="1" applyFill="1" applyBorder="1" applyAlignment="1" applyProtection="1">
      <alignment horizontal="center" vertical="center" wrapText="1"/>
      <protection locked="0"/>
    </xf>
    <xf numFmtId="0" fontId="14" fillId="3" borderId="8" xfId="0" applyFont="1" applyFill="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0" fontId="11" fillId="3" borderId="3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35"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14" fontId="6" fillId="0" borderId="5" xfId="0" applyNumberFormat="1"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34" xfId="1"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34" xfId="1" applyFont="1" applyFill="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4" xfId="0" applyFont="1" applyBorder="1" applyAlignment="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34" xfId="1" applyFont="1" applyBorder="1" applyAlignment="1" applyProtection="1">
      <alignment horizontal="center" vertical="center" wrapText="1"/>
    </xf>
    <xf numFmtId="9" fontId="6" fillId="3" borderId="1" xfId="0" applyNumberFormat="1"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0" borderId="1" xfId="0" applyFont="1" applyBorder="1" applyAlignment="1">
      <alignment horizontal="center"/>
    </xf>
    <xf numFmtId="9" fontId="6" fillId="0" borderId="1"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23" xfId="0" applyFont="1" applyBorder="1" applyAlignment="1" applyProtection="1">
      <alignment horizontal="center" vertical="center" wrapText="1"/>
      <protection locked="0"/>
    </xf>
    <xf numFmtId="9" fontId="6" fillId="0" borderId="20" xfId="0" applyNumberFormat="1" applyFont="1" applyBorder="1" applyAlignment="1" applyProtection="1">
      <alignment horizontal="center" vertical="center" wrapText="1"/>
      <protection locked="0"/>
    </xf>
    <xf numFmtId="0" fontId="10" fillId="6" borderId="2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4" xfId="0" applyFont="1" applyFill="1" applyBorder="1" applyAlignment="1">
      <alignment horizontal="center"/>
    </xf>
    <xf numFmtId="0" fontId="10" fillId="6" borderId="20" xfId="0" applyFont="1" applyFill="1" applyBorder="1" applyAlignment="1">
      <alignment horizontal="center"/>
    </xf>
    <xf numFmtId="0" fontId="10" fillId="6" borderId="32" xfId="0" applyFont="1" applyFill="1" applyBorder="1" applyAlignment="1">
      <alignment horizontal="center"/>
    </xf>
    <xf numFmtId="0" fontId="10" fillId="6" borderId="28" xfId="0" applyFont="1" applyFill="1" applyBorder="1" applyAlignment="1">
      <alignment horizont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2" fillId="4" borderId="0" xfId="0" applyFont="1" applyFill="1" applyAlignment="1" applyProtection="1">
      <alignment horizontal="left" wrapText="1"/>
      <protection locked="0"/>
    </xf>
    <xf numFmtId="0" fontId="9" fillId="4" borderId="0" xfId="0" applyFont="1" applyFill="1" applyAlignment="1" applyProtection="1">
      <alignment horizontal="left"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9" fontId="6" fillId="0" borderId="8" xfId="1" applyFont="1" applyBorder="1" applyAlignment="1" applyProtection="1">
      <alignment horizontal="center" vertical="center" wrapText="1"/>
      <protection locked="0"/>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9" fontId="6" fillId="5" borderId="8" xfId="1" applyFont="1" applyFill="1" applyBorder="1" applyAlignment="1" applyProtection="1">
      <alignment horizontal="center" vertical="center" wrapText="1"/>
    </xf>
    <xf numFmtId="0" fontId="10" fillId="2" borderId="0" xfId="0" applyFont="1" applyFill="1" applyAlignment="1">
      <alignment horizontal="center" vertical="center" wrapText="1"/>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9" fontId="6" fillId="0" borderId="8" xfId="1" applyFont="1" applyBorder="1" applyAlignment="1" applyProtection="1">
      <alignment horizontal="center" vertical="center" wrapText="1"/>
    </xf>
    <xf numFmtId="0" fontId="6" fillId="0" borderId="1" xfId="0" applyFont="1" applyBorder="1" applyAlignment="1">
      <alignment horizontal="center" vertical="center"/>
    </xf>
    <xf numFmtId="0" fontId="6" fillId="0" borderId="34" xfId="0" applyFont="1" applyBorder="1" applyAlignment="1">
      <alignment horizontal="center" vertical="center"/>
    </xf>
    <xf numFmtId="9" fontId="6" fillId="5" borderId="20" xfId="1" applyFont="1" applyFill="1" applyBorder="1" applyAlignment="1" applyProtection="1">
      <alignment horizontal="center" vertical="center" wrapText="1"/>
    </xf>
    <xf numFmtId="9" fontId="6" fillId="5" borderId="3" xfId="1" applyFont="1" applyFill="1" applyBorder="1" applyAlignment="1" applyProtection="1">
      <alignment horizontal="center" vertical="center" wrapText="1"/>
    </xf>
    <xf numFmtId="9" fontId="6" fillId="5" borderId="23" xfId="1" applyFont="1" applyFill="1" applyBorder="1" applyAlignment="1" applyProtection="1">
      <alignment horizontal="center" vertical="center" wrapText="1"/>
    </xf>
    <xf numFmtId="0" fontId="6" fillId="0" borderId="16" xfId="0" applyFont="1" applyBorder="1" applyAlignment="1" applyProtection="1">
      <alignment horizontal="center" vertical="center" wrapText="1"/>
      <protection locked="0"/>
    </xf>
    <xf numFmtId="14"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9" fontId="6" fillId="3" borderId="1" xfId="1" applyFont="1" applyFill="1" applyBorder="1" applyAlignment="1">
      <alignment horizontal="center" vertical="center"/>
    </xf>
    <xf numFmtId="0" fontId="6" fillId="3" borderId="1" xfId="0" applyFont="1" applyFill="1" applyBorder="1" applyAlignment="1">
      <alignment horizontal="center" vertical="center" wrapText="1"/>
    </xf>
  </cellXfs>
  <cellStyles count="2">
    <cellStyle name="Normal" xfId="0" builtinId="0"/>
    <cellStyle name="Porcentaje" xfId="1" builtinId="5"/>
  </cellStyles>
  <dxfs count="106">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76200</xdr:rowOff>
    </xdr:from>
    <xdr:to>
      <xdr:col>3</xdr:col>
      <xdr:colOff>190500</xdr:colOff>
      <xdr:row>3</xdr:row>
      <xdr:rowOff>166727</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0"/>
          <a:ext cx="3333749" cy="128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G38"/>
  <sheetViews>
    <sheetView tabSelected="1" topLeftCell="AQ35" zoomScale="80" zoomScaleNormal="80" workbookViewId="0">
      <selection activeCell="BE15" sqref="BE15"/>
    </sheetView>
  </sheetViews>
  <sheetFormatPr baseColWidth="10" defaultColWidth="10.85546875" defaultRowHeight="14.25" x14ac:dyDescent="0.2"/>
  <cols>
    <col min="1" max="1" width="10.85546875" style="1" customWidth="1"/>
    <col min="2" max="2" width="25.5703125" style="1" customWidth="1"/>
    <col min="3" max="3" width="16.28515625" style="1" customWidth="1"/>
    <col min="4" max="4" width="16.140625" style="1" customWidth="1"/>
    <col min="5" max="5" width="23.28515625" style="1" customWidth="1"/>
    <col min="6" max="6" width="29.7109375" style="1" customWidth="1"/>
    <col min="7" max="7" width="59.140625" style="1" customWidth="1"/>
    <col min="8" max="8" width="35.42578125" style="1" customWidth="1"/>
    <col min="9" max="9" width="25.42578125" style="1" customWidth="1"/>
    <col min="10" max="10" width="19.42578125" style="1" customWidth="1"/>
    <col min="11" max="11" width="23" style="1" customWidth="1"/>
    <col min="12" max="12" width="24" style="1" customWidth="1"/>
    <col min="13" max="13" width="11.140625" style="1" customWidth="1"/>
    <col min="14" max="14" width="11.5703125" style="1" customWidth="1"/>
    <col min="15" max="15" width="11.140625" style="1" customWidth="1"/>
    <col min="16" max="16" width="11.5703125" style="1" customWidth="1"/>
    <col min="17" max="17" width="45.140625" style="1" customWidth="1"/>
    <col min="18" max="18" width="16.140625" style="1" customWidth="1"/>
    <col min="19" max="19" width="14.5703125" style="1" customWidth="1"/>
    <col min="20" max="20" width="16.5703125" style="1" customWidth="1"/>
    <col min="21" max="21" width="10.85546875" style="1" customWidth="1"/>
    <col min="22" max="22" width="22" style="1" customWidth="1"/>
    <col min="23" max="23" width="34.28515625" style="1" customWidth="1"/>
    <col min="24" max="24" width="30.140625" style="1" customWidth="1"/>
    <col min="25" max="25" width="50.85546875" style="1" customWidth="1"/>
    <col min="26" max="26" width="35.42578125" style="1" customWidth="1"/>
    <col min="27" max="27" width="9.5703125" style="1" customWidth="1"/>
    <col min="28" max="28" width="9.5703125" style="1" hidden="1" customWidth="1"/>
    <col min="29" max="29" width="9.5703125" style="1" customWidth="1"/>
    <col min="30" max="30" width="9.5703125" style="1" hidden="1" customWidth="1"/>
    <col min="31" max="31" width="9.5703125" style="1" customWidth="1"/>
    <col min="32" max="32" width="9.5703125" style="1" hidden="1" customWidth="1"/>
    <col min="33" max="33" width="9.5703125" style="1" customWidth="1"/>
    <col min="34" max="34" width="9.5703125" style="1" hidden="1" customWidth="1"/>
    <col min="35" max="35" width="9.5703125" style="1" customWidth="1"/>
    <col min="36" max="36" width="5.140625" style="1" hidden="1" customWidth="1"/>
    <col min="37" max="37" width="10.85546875" style="1" hidden="1" customWidth="1"/>
    <col min="38" max="38" width="11.140625" style="1" customWidth="1"/>
    <col min="39" max="39" width="10.85546875" style="1"/>
    <col min="40" max="40" width="10.85546875" style="1" customWidth="1"/>
    <col min="41" max="41" width="11.140625" style="1" customWidth="1"/>
    <col min="42" max="42" width="24.42578125" style="1" customWidth="1"/>
    <col min="43" max="43" width="24.28515625" style="1" customWidth="1"/>
    <col min="44" max="44" width="19.85546875" style="1" customWidth="1"/>
    <col min="45" max="45" width="20.28515625" style="1" customWidth="1"/>
    <col min="46" max="46" width="10.85546875" style="1" customWidth="1"/>
    <col min="47" max="47" width="38.140625" style="1" hidden="1" customWidth="1"/>
    <col min="48" max="48" width="18.5703125" style="1" customWidth="1"/>
    <col min="49" max="49" width="21.140625" style="1" customWidth="1"/>
    <col min="50" max="50" width="27.7109375" style="1" customWidth="1"/>
    <col min="51" max="51" width="27.42578125" style="1" customWidth="1"/>
    <col min="52" max="52" width="20.7109375" style="1" customWidth="1"/>
    <col min="53" max="53" width="39.85546875" style="1" hidden="1" customWidth="1"/>
    <col min="54" max="54" width="20.7109375" style="1" hidden="1" customWidth="1"/>
    <col min="55" max="55" width="17.85546875" style="1" customWidth="1"/>
    <col min="56" max="56" width="20.42578125" style="1" customWidth="1"/>
    <col min="57" max="57" width="16.28515625" style="1" bestFit="1" customWidth="1"/>
    <col min="58" max="58" width="47.5703125" style="1" customWidth="1"/>
    <col min="59" max="16384" width="10.85546875" style="1"/>
  </cols>
  <sheetData>
    <row r="1" spans="1:59" customFormat="1" ht="31.5" customHeight="1" x14ac:dyDescent="0.25">
      <c r="A1" s="116"/>
      <c r="B1" s="116"/>
      <c r="C1" s="116"/>
      <c r="D1" s="116"/>
      <c r="E1" s="134" t="s">
        <v>0</v>
      </c>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6"/>
      <c r="BF1" s="45" t="s">
        <v>1</v>
      </c>
      <c r="BG1" s="1"/>
    </row>
    <row r="2" spans="1:59" customFormat="1" ht="31.5" customHeight="1" x14ac:dyDescent="0.25">
      <c r="A2" s="116"/>
      <c r="B2" s="116"/>
      <c r="C2" s="116"/>
      <c r="D2" s="116"/>
      <c r="E2" s="137"/>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9"/>
      <c r="BF2" s="46" t="s">
        <v>4</v>
      </c>
      <c r="BG2" s="1"/>
    </row>
    <row r="3" spans="1:59" customFormat="1" ht="31.5" customHeight="1" x14ac:dyDescent="0.25">
      <c r="A3" s="116"/>
      <c r="B3" s="116"/>
      <c r="C3" s="116"/>
      <c r="D3" s="116"/>
      <c r="E3" s="156" t="s">
        <v>2</v>
      </c>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8"/>
      <c r="BF3" s="47" t="s">
        <v>65</v>
      </c>
      <c r="BG3" s="1"/>
    </row>
    <row r="4" spans="1:59" customFormat="1" ht="31.5" customHeight="1" x14ac:dyDescent="0.25">
      <c r="A4" s="116"/>
      <c r="B4" s="116"/>
      <c r="C4" s="116"/>
      <c r="D4" s="116"/>
      <c r="E4" s="159"/>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1"/>
      <c r="BF4" s="46" t="s">
        <v>3</v>
      </c>
      <c r="BG4" s="1"/>
    </row>
    <row r="5" spans="1:59" s="5" customFormat="1" ht="9.6" customHeight="1" x14ac:dyDescent="0.35">
      <c r="A5" s="2"/>
      <c r="B5" s="2"/>
      <c r="C5" s="2" t="s">
        <v>232</v>
      </c>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4"/>
    </row>
    <row r="6" spans="1:59" ht="23.1" customHeight="1" x14ac:dyDescent="0.2">
      <c r="A6" s="155" t="s">
        <v>16</v>
      </c>
      <c r="B6" s="155"/>
      <c r="C6" s="155"/>
      <c r="D6" s="142" t="s">
        <v>94</v>
      </c>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7"/>
    </row>
    <row r="7" spans="1:59"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4"/>
    </row>
    <row r="8" spans="1:59" ht="63.75" customHeight="1" x14ac:dyDescent="0.2">
      <c r="A8" s="155" t="s">
        <v>17</v>
      </c>
      <c r="B8" s="155"/>
      <c r="C8" s="155"/>
      <c r="D8" s="143" t="s">
        <v>96</v>
      </c>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7"/>
    </row>
    <row r="9" spans="1:59"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4"/>
    </row>
    <row r="10" spans="1:59" ht="38.25" customHeight="1" x14ac:dyDescent="0.2">
      <c r="A10" s="155" t="s">
        <v>47</v>
      </c>
      <c r="B10" s="155"/>
      <c r="C10" s="155"/>
      <c r="D10" s="144" t="s">
        <v>95</v>
      </c>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7"/>
    </row>
    <row r="11" spans="1:59" s="6" customFormat="1" ht="9.6" customHeight="1" thickBot="1" x14ac:dyDescent="0.4">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3"/>
      <c r="BE11" s="3"/>
      <c r="BF11" s="3"/>
      <c r="BG11" s="4"/>
    </row>
    <row r="12" spans="1:59" s="10" customFormat="1" ht="18.75" thickBot="1" x14ac:dyDescent="0.3">
      <c r="A12" s="122" t="s">
        <v>53</v>
      </c>
      <c r="B12" s="123"/>
      <c r="C12" s="123"/>
      <c r="D12" s="123"/>
      <c r="E12" s="123"/>
      <c r="F12" s="123"/>
      <c r="G12" s="123"/>
      <c r="H12" s="123"/>
      <c r="I12" s="123"/>
      <c r="J12" s="123"/>
      <c r="K12" s="123"/>
      <c r="L12" s="123"/>
      <c r="M12" s="123"/>
      <c r="N12" s="123"/>
      <c r="O12" s="123"/>
      <c r="P12" s="123"/>
      <c r="Q12" s="124"/>
      <c r="R12" s="130" t="s">
        <v>55</v>
      </c>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2"/>
      <c r="BA12" s="132"/>
      <c r="BB12" s="132"/>
      <c r="BC12" s="133"/>
      <c r="BD12" s="145" t="s">
        <v>57</v>
      </c>
      <c r="BE12" s="146"/>
      <c r="BF12" s="147"/>
      <c r="BG12" s="9"/>
    </row>
    <row r="13" spans="1:59" s="21" customFormat="1" ht="42" customHeight="1" x14ac:dyDescent="0.25">
      <c r="A13" s="148" t="s">
        <v>19</v>
      </c>
      <c r="B13" s="149"/>
      <c r="C13" s="149"/>
      <c r="D13" s="149"/>
      <c r="E13" s="149"/>
      <c r="F13" s="149"/>
      <c r="G13" s="150"/>
      <c r="H13" s="148" t="s">
        <v>54</v>
      </c>
      <c r="I13" s="149"/>
      <c r="J13" s="149"/>
      <c r="K13" s="149"/>
      <c r="L13" s="150"/>
      <c r="M13" s="148" t="s">
        <v>28</v>
      </c>
      <c r="N13" s="149"/>
      <c r="O13" s="149"/>
      <c r="P13" s="149"/>
      <c r="Q13" s="150"/>
      <c r="R13" s="148" t="s">
        <v>56</v>
      </c>
      <c r="S13" s="149"/>
      <c r="T13" s="150"/>
      <c r="U13" s="148" t="s">
        <v>51</v>
      </c>
      <c r="V13" s="149"/>
      <c r="W13" s="149"/>
      <c r="X13" s="149"/>
      <c r="Y13" s="149"/>
      <c r="Z13" s="150"/>
      <c r="AA13" s="125" t="s">
        <v>32</v>
      </c>
      <c r="AB13" s="126"/>
      <c r="AC13" s="126"/>
      <c r="AD13" s="127"/>
      <c r="AE13" s="125" t="s">
        <v>33</v>
      </c>
      <c r="AF13" s="126"/>
      <c r="AG13" s="126"/>
      <c r="AH13" s="126"/>
      <c r="AI13" s="126"/>
      <c r="AJ13" s="127"/>
      <c r="AK13" s="148" t="s">
        <v>50</v>
      </c>
      <c r="AL13" s="149"/>
      <c r="AM13" s="149"/>
      <c r="AN13" s="149"/>
      <c r="AO13" s="149"/>
      <c r="AP13" s="149"/>
      <c r="AQ13" s="150"/>
      <c r="AR13" s="125" t="s">
        <v>37</v>
      </c>
      <c r="AS13" s="127"/>
      <c r="AT13" s="125" t="s">
        <v>49</v>
      </c>
      <c r="AU13" s="126"/>
      <c r="AV13" s="126"/>
      <c r="AW13" s="126"/>
      <c r="AX13" s="126"/>
      <c r="AY13" s="126"/>
      <c r="AZ13" s="126"/>
      <c r="BA13" s="126"/>
      <c r="BB13" s="126"/>
      <c r="BC13" s="127"/>
      <c r="BD13" s="152" t="s">
        <v>10</v>
      </c>
      <c r="BE13" s="117" t="s">
        <v>41</v>
      </c>
      <c r="BF13" s="140" t="s">
        <v>40</v>
      </c>
      <c r="BG13" s="11"/>
    </row>
    <row r="14" spans="1:59" customFormat="1" ht="112.5" customHeight="1" thickBot="1" x14ac:dyDescent="0.3">
      <c r="A14" s="12" t="s">
        <v>35</v>
      </c>
      <c r="B14" s="13" t="s">
        <v>20</v>
      </c>
      <c r="C14" s="13" t="s">
        <v>8</v>
      </c>
      <c r="D14" s="13" t="s">
        <v>7</v>
      </c>
      <c r="E14" s="13" t="s">
        <v>64</v>
      </c>
      <c r="F14" s="13" t="s">
        <v>6</v>
      </c>
      <c r="G14" s="14" t="s">
        <v>5</v>
      </c>
      <c r="H14" s="15" t="s">
        <v>63</v>
      </c>
      <c r="I14" s="13" t="s">
        <v>60</v>
      </c>
      <c r="J14" s="13" t="s">
        <v>9</v>
      </c>
      <c r="K14" s="13" t="s">
        <v>24</v>
      </c>
      <c r="L14" s="14" t="s">
        <v>61</v>
      </c>
      <c r="M14" s="128" t="s">
        <v>23</v>
      </c>
      <c r="N14" s="129"/>
      <c r="O14" s="129" t="s">
        <v>22</v>
      </c>
      <c r="P14" s="129"/>
      <c r="Q14" s="14" t="s">
        <v>21</v>
      </c>
      <c r="R14" s="15" t="s">
        <v>52</v>
      </c>
      <c r="S14" s="13" t="s">
        <v>62</v>
      </c>
      <c r="T14" s="14" t="s">
        <v>36</v>
      </c>
      <c r="U14" s="12" t="s">
        <v>18</v>
      </c>
      <c r="V14" s="13" t="s">
        <v>10</v>
      </c>
      <c r="W14" s="13" t="s">
        <v>42</v>
      </c>
      <c r="X14" s="13" t="s">
        <v>43</v>
      </c>
      <c r="Y14" s="13" t="s">
        <v>44</v>
      </c>
      <c r="Z14" s="14" t="s">
        <v>45</v>
      </c>
      <c r="AA14" s="12" t="s">
        <v>25</v>
      </c>
      <c r="AB14" s="18"/>
      <c r="AC14" s="16" t="s">
        <v>12</v>
      </c>
      <c r="AD14" s="19"/>
      <c r="AE14" s="12" t="s">
        <v>13</v>
      </c>
      <c r="AF14" s="18"/>
      <c r="AG14" s="16" t="s">
        <v>14</v>
      </c>
      <c r="AH14" s="18"/>
      <c r="AI14" s="16" t="s">
        <v>15</v>
      </c>
      <c r="AJ14" s="20"/>
      <c r="AK14" s="15"/>
      <c r="AL14" s="129" t="s">
        <v>29</v>
      </c>
      <c r="AM14" s="129"/>
      <c r="AN14" s="13"/>
      <c r="AO14" s="129" t="s">
        <v>30</v>
      </c>
      <c r="AP14" s="129"/>
      <c r="AQ14" s="14" t="s">
        <v>31</v>
      </c>
      <c r="AR14" s="15" t="s">
        <v>39</v>
      </c>
      <c r="AS14" s="14" t="s">
        <v>38</v>
      </c>
      <c r="AT14" s="12" t="s">
        <v>26</v>
      </c>
      <c r="AU14" s="58" t="s">
        <v>40</v>
      </c>
      <c r="AV14" s="58" t="s">
        <v>48</v>
      </c>
      <c r="AW14" s="58" t="s">
        <v>27</v>
      </c>
      <c r="AX14" s="58" t="s">
        <v>45</v>
      </c>
      <c r="AY14" s="58" t="s">
        <v>46</v>
      </c>
      <c r="AZ14" s="57" t="s">
        <v>77</v>
      </c>
      <c r="BA14" s="57" t="s">
        <v>79</v>
      </c>
      <c r="BB14" s="50" t="s">
        <v>78</v>
      </c>
      <c r="BC14" s="14" t="s">
        <v>11</v>
      </c>
      <c r="BD14" s="153"/>
      <c r="BE14" s="118"/>
      <c r="BF14" s="141"/>
    </row>
    <row r="15" spans="1:59" s="32" customFormat="1" ht="165.75" customHeight="1" thickBot="1" x14ac:dyDescent="0.3">
      <c r="A15" s="111" t="s">
        <v>34</v>
      </c>
      <c r="B15" s="85" t="s">
        <v>97</v>
      </c>
      <c r="C15" s="85" t="s">
        <v>66</v>
      </c>
      <c r="D15" s="85" t="s">
        <v>67</v>
      </c>
      <c r="E15" s="85" t="s">
        <v>98</v>
      </c>
      <c r="F15" s="85" t="s">
        <v>99</v>
      </c>
      <c r="G15" s="99" t="str">
        <f>+IF(OR(D15&lt;&gt;"",E15&lt;&gt;"",F15&lt;&gt;""),CONCATENATE("Posibilidad de ",D15," por ",E15,"debido a que ",F15),"")</f>
        <v>Posibilidad de afectación económica y reputacional por atraso en los procesos de las área, deficiencias en los resultados de los trabajos realizados, debido a que se presenten fallas en la calidad en bienes y elementos suministrados al instituto.</v>
      </c>
      <c r="H15" s="114" t="s">
        <v>102</v>
      </c>
      <c r="I15" s="85" t="s">
        <v>81</v>
      </c>
      <c r="J15" s="85" t="s">
        <v>69</v>
      </c>
      <c r="K15" s="85" t="s">
        <v>147</v>
      </c>
      <c r="L15" s="85" t="s">
        <v>233</v>
      </c>
      <c r="M15" s="96">
        <f>+IF(K15="Máximo 2 veces",0.2,IF(K15="Entre 3 a 24 veces",0.4,IF(K15="Entre 24 a 500 veces",0.6,IF(K15="Entre 500 a 5000 veces",0.8,IF(K15="Mas de 5000 veces",1,"")))))</f>
        <v>1</v>
      </c>
      <c r="N15" s="99" t="str">
        <f>+IF(M15="","",IF(M15&gt;0.8,"Muy Alta",IF(AND(M15&lt;=0.8,M15&gt;0.6),"Alta",IF(AND(M15&lt;=0.6,M15&gt;0.4),"Media",IF(AND(M15&lt;=0.4,M15&gt;0.2),"Baja","Muy Baja")))))</f>
        <v>Muy Alta</v>
      </c>
      <c r="O15" s="96">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0.8</v>
      </c>
      <c r="P15" s="102"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Mayor</v>
      </c>
      <c r="Q15" s="99"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Alto</v>
      </c>
      <c r="R15" s="85" t="s">
        <v>83</v>
      </c>
      <c r="S15" s="85" t="s">
        <v>71</v>
      </c>
      <c r="T15" s="93"/>
      <c r="U15" s="26">
        <v>1</v>
      </c>
      <c r="V15" s="22" t="s">
        <v>100</v>
      </c>
      <c r="W15" s="22" t="s">
        <v>234</v>
      </c>
      <c r="X15" s="22" t="s">
        <v>101</v>
      </c>
      <c r="Y15" s="25" t="str">
        <f t="shared" ref="Y15:Y35" si="0">CONCATENATE(V15,W15,X15)</f>
        <v xml:space="preserve">La almacenista general y su equipo de trabajo deberán formular criterios técnicos claros y precisos considerando todas la condicones de calidad, suficiencia, y relación costo beneficios para realizar control posterior a las entregas que realicen los proveedores. </v>
      </c>
      <c r="Z15" s="22" t="s">
        <v>103</v>
      </c>
      <c r="AA15" s="27" t="s">
        <v>72</v>
      </c>
      <c r="AB15" s="28"/>
      <c r="AC15" s="27" t="s">
        <v>73</v>
      </c>
      <c r="AD15" s="28">
        <f>+IF(AC15="","",IF(AC15="Automático",0.25,IF(AC15="Manual",0.15)))</f>
        <v>0.15</v>
      </c>
      <c r="AE15" s="27" t="s">
        <v>74</v>
      </c>
      <c r="AF15" s="28">
        <f>+IF(AE15="","",IF(AE15="Documentado",0.5,IF(AE15="Sin documentar",0)))</f>
        <v>0.5</v>
      </c>
      <c r="AG15" s="27" t="s">
        <v>75</v>
      </c>
      <c r="AH15" s="28">
        <f>+IF(AG15="","",IF(AG15="Continua",0.1,IF(AG15="Aleatoria",0.05)))</f>
        <v>0.1</v>
      </c>
      <c r="AI15" s="27" t="s">
        <v>76</v>
      </c>
      <c r="AJ15" s="29">
        <f>+IF(AI15="","",IF(AI15="Con registro",0.05,IF(AI15="Sin registro",0)))</f>
        <v>0.05</v>
      </c>
      <c r="AK15" s="29">
        <f>+IF(M15="","",M15-(SUM(AB15,AD15,AF15,AH15,AJ15)*M15))</f>
        <v>0.19999999999999996</v>
      </c>
      <c r="AL15" s="96">
        <f>+IF(M15="","",MIN(AK15:AK17))</f>
        <v>0.18999999999999995</v>
      </c>
      <c r="AM15" s="99" t="str">
        <f>+IF(AL15="","",IF(AL15&gt;0.8,"Muy Alta",IF(AND(AL15&lt;=0.8,AL15&gt;0.6),"Alta",IF(AND(AL15&lt;=0.6,AL15&gt;0.4),"Media",IF(AND(AL15&lt;=0.4,AL15&gt;0.2),"Baja","Muy Baja")))))</f>
        <v>Muy Baja</v>
      </c>
      <c r="AN15" s="30">
        <f>+IF(OR(S15="",S15="No"),O15,O15-(O15*T15))</f>
        <v>0.8</v>
      </c>
      <c r="AO15" s="96">
        <f>+IF(L15="","",MIN(AN16:AN17))</f>
        <v>0.64800000000000002</v>
      </c>
      <c r="AP15" s="102" t="str">
        <f>+IF(AO15="","",IF(AO15&gt;0.8,"Catastrófico",IF(AND(AO15&lt;=0.8,AO15&gt;0.6),"Mayor",IF(AND(AO15&lt;=0.6,AO15&gt;0.4),"Moderado",IF(AND(AO15&lt;=0.4,AO15&gt;0.2),"Menor","Leve")))))</f>
        <v>Mayor</v>
      </c>
      <c r="AQ15" s="99"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Alto</v>
      </c>
      <c r="AR15" s="114" t="s">
        <v>109</v>
      </c>
      <c r="AS15" s="121">
        <v>0.85</v>
      </c>
      <c r="AT15" s="31">
        <v>1</v>
      </c>
      <c r="AU15" s="23"/>
      <c r="AV15" s="23" t="s">
        <v>105</v>
      </c>
      <c r="AW15" s="49" t="s">
        <v>85</v>
      </c>
      <c r="AX15" s="23" t="s">
        <v>106</v>
      </c>
      <c r="AY15" s="23" t="s">
        <v>107</v>
      </c>
      <c r="AZ15" s="23" t="s">
        <v>108</v>
      </c>
      <c r="BA15" s="23"/>
      <c r="BB15" s="48"/>
      <c r="BC15" s="22" t="s">
        <v>235</v>
      </c>
      <c r="BD15" s="52" t="s">
        <v>236</v>
      </c>
      <c r="BE15" s="53">
        <v>45646</v>
      </c>
      <c r="BF15" s="62"/>
    </row>
    <row r="16" spans="1:59" s="32" customFormat="1" ht="155.25" customHeight="1" thickBot="1" x14ac:dyDescent="0.3">
      <c r="A16" s="112"/>
      <c r="B16" s="86"/>
      <c r="C16" s="86"/>
      <c r="D16" s="86"/>
      <c r="E16" s="86"/>
      <c r="F16" s="86"/>
      <c r="G16" s="100"/>
      <c r="H16" s="115"/>
      <c r="I16" s="86"/>
      <c r="J16" s="86"/>
      <c r="K16" s="86"/>
      <c r="L16" s="86"/>
      <c r="M16" s="97"/>
      <c r="N16" s="100"/>
      <c r="O16" s="97"/>
      <c r="P16" s="103"/>
      <c r="Q16" s="100"/>
      <c r="R16" s="86"/>
      <c r="S16" s="86"/>
      <c r="T16" s="94"/>
      <c r="U16" s="33">
        <v>2</v>
      </c>
      <c r="V16" s="22" t="s">
        <v>100</v>
      </c>
      <c r="W16" s="23" t="s">
        <v>164</v>
      </c>
      <c r="X16" s="23" t="s">
        <v>104</v>
      </c>
      <c r="Y16" s="25" t="str">
        <f>CONCATENATE(V16,W16,X16)</f>
        <v xml:space="preserve">La almacenista general y su equipo de trabajo solicitará a los respectivos supervisores de contrato el requerimiento por garantía de los insumos que resulten defectuosos.con el fin de cambiarlos a los requeridos según especificaciones técnicas y de calidad. </v>
      </c>
      <c r="Z16" s="23" t="s">
        <v>165</v>
      </c>
      <c r="AA16" s="34" t="s">
        <v>84</v>
      </c>
      <c r="AB16" s="35"/>
      <c r="AC16" s="34" t="s">
        <v>73</v>
      </c>
      <c r="AD16" s="35"/>
      <c r="AE16" s="34" t="s">
        <v>93</v>
      </c>
      <c r="AF16" s="35"/>
      <c r="AG16" s="34" t="s">
        <v>86</v>
      </c>
      <c r="AH16" s="35"/>
      <c r="AI16" s="34" t="s">
        <v>76</v>
      </c>
      <c r="AJ16" s="36">
        <f t="shared" ref="AJ16:AJ23" si="1">+IF(AI16="","",IF(AI16="Con registro",0.05,IF(AI16="Sin registro",0)))</f>
        <v>0.05</v>
      </c>
      <c r="AK16" s="36">
        <f>+IF(AK15="","",AK15-(SUM(AB16,AD16,AF16,AH16,AJ16)*AK15))</f>
        <v>0.18999999999999995</v>
      </c>
      <c r="AL16" s="97"/>
      <c r="AM16" s="100"/>
      <c r="AN16" s="37">
        <f>+IF(AND(AA15="Correctivo",AA16="Correctivo",AA17="Correctivo"),AN15-(0.3*AN15),IF(AND(AA15="Correctivo",OR(AA16="Correctivo",AA17="Correctivo")),AN15-(0.2*AN15),IF(AND(AA16="Correctivo",OR(AA15="Correctivo",AA17="Correctivo")),AN15-(0.2*AN15),IF(AND(AA17="Correctivo",OR(AA16="Correctivo",AA15="Correctivo")),AN15-(0.2*AN15),IF(OR(AA15="Correctivo",AA16="Correctivo",AA17="Correctivo"),AN15-(0.1*AN15),AN15)))))</f>
        <v>0.72</v>
      </c>
      <c r="AO16" s="97"/>
      <c r="AP16" s="103"/>
      <c r="AQ16" s="100"/>
      <c r="AR16" s="115"/>
      <c r="AS16" s="115"/>
      <c r="AT16" s="38">
        <v>2</v>
      </c>
      <c r="AU16" s="55"/>
      <c r="AV16" s="23" t="s">
        <v>105</v>
      </c>
      <c r="AW16" s="49" t="s">
        <v>85</v>
      </c>
      <c r="AX16" s="55" t="s">
        <v>110</v>
      </c>
      <c r="AY16" s="23" t="s">
        <v>107</v>
      </c>
      <c r="AZ16" s="55" t="s">
        <v>111</v>
      </c>
      <c r="BA16" s="55"/>
      <c r="BB16" s="48"/>
      <c r="BC16" s="23" t="s">
        <v>235</v>
      </c>
      <c r="BD16" s="52" t="s">
        <v>236</v>
      </c>
      <c r="BE16" s="53">
        <v>45646</v>
      </c>
      <c r="BF16" s="92"/>
    </row>
    <row r="17" spans="1:58" s="32" customFormat="1" ht="101.25" customHeight="1" thickBot="1" x14ac:dyDescent="0.3">
      <c r="A17" s="113"/>
      <c r="B17" s="89"/>
      <c r="C17" s="89"/>
      <c r="D17" s="89"/>
      <c r="E17" s="89"/>
      <c r="F17" s="89"/>
      <c r="G17" s="119"/>
      <c r="H17" s="120"/>
      <c r="I17" s="89"/>
      <c r="J17" s="89"/>
      <c r="K17" s="89"/>
      <c r="L17" s="89"/>
      <c r="M17" s="154"/>
      <c r="N17" s="119"/>
      <c r="O17" s="154"/>
      <c r="P17" s="162"/>
      <c r="Q17" s="119"/>
      <c r="R17" s="89"/>
      <c r="S17" s="89"/>
      <c r="T17" s="151"/>
      <c r="U17" s="39">
        <v>3</v>
      </c>
      <c r="V17" s="22" t="s">
        <v>100</v>
      </c>
      <c r="W17" s="24" t="s">
        <v>166</v>
      </c>
      <c r="X17" s="24" t="s">
        <v>167</v>
      </c>
      <c r="Y17" s="25" t="str">
        <f>CONCATENATE(V17,W17,X17)</f>
        <v xml:space="preserve">La almacenista general y su equipo de trabajo Verificará las fichas técnicas de los elementos e insumos que se entreguen al almacén con el fin de verificar las condiciones de llegada de los mismos. </v>
      </c>
      <c r="Z17" s="24" t="s">
        <v>168</v>
      </c>
      <c r="AA17" s="40" t="s">
        <v>91</v>
      </c>
      <c r="AB17" s="41"/>
      <c r="AC17" s="40" t="s">
        <v>73</v>
      </c>
      <c r="AD17" s="41"/>
      <c r="AE17" s="40" t="s">
        <v>93</v>
      </c>
      <c r="AF17" s="41"/>
      <c r="AG17" s="40" t="s">
        <v>75</v>
      </c>
      <c r="AH17" s="41"/>
      <c r="AI17" s="40" t="s">
        <v>169</v>
      </c>
      <c r="AJ17" s="42">
        <f t="shared" si="1"/>
        <v>0</v>
      </c>
      <c r="AK17" s="42">
        <f>+IF(AK16="","",AK16-(SUM(AB17,AD17,AF17,AH17,AJ17)*AK16))</f>
        <v>0.18999999999999995</v>
      </c>
      <c r="AL17" s="154"/>
      <c r="AM17" s="119"/>
      <c r="AN17" s="37">
        <f>+IF(AND(AA16="Correctivo",AA17="Correctivo",AA18="Correctivo"),AN16-(0.3*AN16),IF(AND(AA16="Correctivo",OR(AA17="Correctivo",AA18="Correctivo")),AN16-(0.2*AN16),IF(AND(AA17="Correctivo",OR(AA16="Correctivo",AA18="Correctivo")),AN16-(0.2*AN16),IF(AND(AA18="Correctivo",OR(AA17="Correctivo",AA16="Correctivo")),AN16-(0.2*AN16),IF(OR(AA16="Correctivo",AA17="Correctivo",AA18="Correctivo"),AN16-(0.1*AN16),AN16)))))</f>
        <v>0.64800000000000002</v>
      </c>
      <c r="AO17" s="154"/>
      <c r="AP17" s="162"/>
      <c r="AQ17" s="119"/>
      <c r="AR17" s="120"/>
      <c r="AS17" s="120"/>
      <c r="AT17" s="44">
        <v>3</v>
      </c>
      <c r="AU17" s="24"/>
      <c r="AV17" s="23" t="s">
        <v>105</v>
      </c>
      <c r="AW17" s="49" t="s">
        <v>85</v>
      </c>
      <c r="AX17" s="22" t="s">
        <v>251</v>
      </c>
      <c r="AY17" s="23" t="s">
        <v>107</v>
      </c>
      <c r="AZ17" s="51" t="s">
        <v>113</v>
      </c>
      <c r="BA17" s="51"/>
      <c r="BB17" s="48"/>
      <c r="BC17" s="24" t="s">
        <v>235</v>
      </c>
      <c r="BD17" s="52" t="s">
        <v>236</v>
      </c>
      <c r="BE17" s="53">
        <v>45646</v>
      </c>
      <c r="BF17" s="168"/>
    </row>
    <row r="18" spans="1:58" s="32" customFormat="1" ht="149.25" customHeight="1" thickBot="1" x14ac:dyDescent="0.25">
      <c r="A18" s="111" t="s">
        <v>58</v>
      </c>
      <c r="B18" s="85" t="s">
        <v>114</v>
      </c>
      <c r="C18" s="85" t="s">
        <v>92</v>
      </c>
      <c r="D18" s="85" t="s">
        <v>80</v>
      </c>
      <c r="E18" s="85" t="s">
        <v>115</v>
      </c>
      <c r="F18" s="85" t="s">
        <v>116</v>
      </c>
      <c r="G18" s="99" t="str">
        <f t="shared" ref="G18" si="2">+IF(OR(D18&lt;&gt;"",E18&lt;&gt;"",F18&lt;&gt;""),CONCATENATE("Posibilidad de ",D18," por ",E18," debido a ",F18),"")</f>
        <v>Posibilidad de afectación económica por daño o deterioro del inventario  debido a deficiencias locativas en los sitios de almacenamiento.</v>
      </c>
      <c r="H18" s="114" t="s">
        <v>117</v>
      </c>
      <c r="I18" s="85" t="s">
        <v>68</v>
      </c>
      <c r="J18" s="85" t="s">
        <v>89</v>
      </c>
      <c r="K18" s="85" t="s">
        <v>147</v>
      </c>
      <c r="L18" s="85" t="s">
        <v>233</v>
      </c>
      <c r="M18" s="96">
        <f>+IF(K18="Máximo 2 veces",0.2,IF(K18="Entre 3 a 24 veces",0.4,IF(K18="Entre 24 a 500 veces",0.6,IF(K18="Entre 500 a 5000 veces",0.8,IF(K18="Mas de 5000 veces",1,"")))))</f>
        <v>1</v>
      </c>
      <c r="N18" s="99" t="str">
        <f>+IF(M18="","",IF(M18&gt;0.8,"Muy Alta",IF(AND(M18&lt;=0.8,M18&gt;0.6),"Alta",IF(AND(M18&lt;=0.6,M18&gt;0.4),"Media",IF(AND(M18&lt;=0.4,M18&gt;0.2),"Baja","Muy Baja")))))</f>
        <v>Muy Alta</v>
      </c>
      <c r="O18" s="96">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0.8</v>
      </c>
      <c r="P18" s="102"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Mayor</v>
      </c>
      <c r="Q18" s="99"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Alto</v>
      </c>
      <c r="R18" s="85" t="s">
        <v>83</v>
      </c>
      <c r="S18" s="85" t="s">
        <v>71</v>
      </c>
      <c r="T18" s="93"/>
      <c r="U18" s="26">
        <v>1</v>
      </c>
      <c r="V18" s="22" t="s">
        <v>100</v>
      </c>
      <c r="W18" s="22" t="s">
        <v>121</v>
      </c>
      <c r="X18" s="22" t="s">
        <v>126</v>
      </c>
      <c r="Y18" s="25" t="str">
        <f t="shared" si="0"/>
        <v>La almacenista general y su equipo de trabajo solicitará a la alta gerencia la inversión de recursos en el mantenimiento del Almacén General para ampliar la capacidad de almacenamiento del Instituto</v>
      </c>
      <c r="Z18" s="60" t="s">
        <v>120</v>
      </c>
      <c r="AA18" s="27" t="s">
        <v>72</v>
      </c>
      <c r="AB18" s="28">
        <f>+IF(AA18="","",IF(AA18="Preventivo",0.25,IF(AA18="Detectivo",0.15,IF(AA18="Correctivo",0.1,))))</f>
        <v>0.25</v>
      </c>
      <c r="AC18" s="27" t="s">
        <v>73</v>
      </c>
      <c r="AD18" s="28">
        <f>+IF(AC18="","",IF(AC18="Automático",0.25,IF(AC18="Manual",0.15)))</f>
        <v>0.15</v>
      </c>
      <c r="AE18" s="27" t="s">
        <v>74</v>
      </c>
      <c r="AF18" s="28">
        <f>+IF(AE18="","",IF(AE18="Documentado",0.5,IF(AE18="Sin documentar",0)))</f>
        <v>0.5</v>
      </c>
      <c r="AG18" s="27" t="s">
        <v>75</v>
      </c>
      <c r="AH18" s="28">
        <f>+IF(AG18="","",IF(AG18="Continua",0.1,IF(AG18="Aleatoria",0.05)))</f>
        <v>0.1</v>
      </c>
      <c r="AI18" s="27" t="s">
        <v>76</v>
      </c>
      <c r="AJ18" s="29">
        <f>+IF(AI18="","",IF(AI18="Con registro",0.05,IF(AI18="Sin registro",0)))</f>
        <v>0.05</v>
      </c>
      <c r="AK18" s="29">
        <f>+IF(M18="","",M18-(SUM(AB18,AD18,AF18,AH18,AJ18)*M18))</f>
        <v>-5.0000000000000044E-2</v>
      </c>
      <c r="AL18" s="96">
        <f>+IF(M18="","",MIN(AK18:AK20))</f>
        <v>-5.0000000000000044E-2</v>
      </c>
      <c r="AM18" s="99" t="str">
        <f>+IF(AL18="","",IF(AL18&gt;0.8,"Muy Alta",IF(AND(AL18&lt;=0.8,AL18&gt;0.6),"Alta",IF(AND(AL18&lt;=0.6,AL18&gt;0.4),"Media",IF(AND(AL18&lt;=0.4,AL18&gt;0.2),"Baja","Muy Baja")))))</f>
        <v>Muy Baja</v>
      </c>
      <c r="AN18" s="30">
        <f>+IF(OR(S18="",S18="No"),O18,O18-(O18*T18))</f>
        <v>0.8</v>
      </c>
      <c r="AO18" s="96">
        <f>+IF(L18="","",MIN(AN19:AN20))</f>
        <v>0.72</v>
      </c>
      <c r="AP18" s="102" t="str">
        <f>+IF(AO18="","",IF(AO18&gt;0.8,"Catastrófico",IF(AND(AO18&lt;=0.8,AO18&gt;0.6),"Mayor",IF(AND(AO18&lt;=0.6,AO18&gt;0.4),"Moderado",IF(AND(AO18&lt;=0.4,AO18&gt;0.2),"Menor","Leve")))))</f>
        <v>Mayor</v>
      </c>
      <c r="AQ18" s="99" t="str">
        <f t="shared" ref="AQ18" si="3">+IF(OR(AL18="",AO18=""),"",IF(AND(AP18="Catastrófico",AM18&lt;&gt;""),"Extremo",IF(AND(AP18="Mayor",AM18&lt;&gt;""),"Alto",IF(AND(AM18="Muy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Alto</v>
      </c>
      <c r="AR18" s="114" t="s">
        <v>138</v>
      </c>
      <c r="AS18" s="121">
        <v>7.0000000000000007E-2</v>
      </c>
      <c r="AT18" s="31">
        <v>1</v>
      </c>
      <c r="AU18" s="22"/>
      <c r="AV18" s="23" t="s">
        <v>133</v>
      </c>
      <c r="AW18" s="49" t="s">
        <v>85</v>
      </c>
      <c r="AX18" s="22" t="s">
        <v>112</v>
      </c>
      <c r="AY18" s="23" t="s">
        <v>107</v>
      </c>
      <c r="AZ18" s="22" t="s">
        <v>156</v>
      </c>
      <c r="BA18" s="22"/>
      <c r="BB18" s="22"/>
      <c r="BC18" s="22" t="s">
        <v>235</v>
      </c>
      <c r="BD18" s="85" t="s">
        <v>236</v>
      </c>
      <c r="BE18" s="88">
        <v>45646</v>
      </c>
      <c r="BF18" s="90"/>
    </row>
    <row r="19" spans="1:58" s="32" customFormat="1" ht="117.75" customHeight="1" thickBot="1" x14ac:dyDescent="0.3">
      <c r="A19" s="112"/>
      <c r="B19" s="86"/>
      <c r="C19" s="86"/>
      <c r="D19" s="86"/>
      <c r="E19" s="86"/>
      <c r="F19" s="86"/>
      <c r="G19" s="100"/>
      <c r="H19" s="115"/>
      <c r="I19" s="86"/>
      <c r="J19" s="86"/>
      <c r="K19" s="86"/>
      <c r="L19" s="86"/>
      <c r="M19" s="97"/>
      <c r="N19" s="100"/>
      <c r="O19" s="97"/>
      <c r="P19" s="103"/>
      <c r="Q19" s="100"/>
      <c r="R19" s="86"/>
      <c r="S19" s="86"/>
      <c r="T19" s="94"/>
      <c r="U19" s="33">
        <v>2</v>
      </c>
      <c r="V19" s="22" t="s">
        <v>100</v>
      </c>
      <c r="W19" s="23" t="s">
        <v>123</v>
      </c>
      <c r="X19" s="23" t="s">
        <v>118</v>
      </c>
      <c r="Y19" s="25" t="str">
        <f t="shared" si="0"/>
        <v>La almacenista general y su equipo de trabajo realizará verificación y optimización de los espacios de almacenamiento existentes para la habilitación de nuevos espacios</v>
      </c>
      <c r="Z19" s="23" t="s">
        <v>124</v>
      </c>
      <c r="AA19" s="34" t="s">
        <v>84</v>
      </c>
      <c r="AB19" s="35">
        <f t="shared" ref="AB19:AB23" si="4">+IF(AA19="","",IF(AA19="Preventivo",0.25,IF(AA19="Detectivo",0.15,IF(AA19="Correctivo",0.1,))))</f>
        <v>0.1</v>
      </c>
      <c r="AC19" s="34" t="s">
        <v>73</v>
      </c>
      <c r="AD19" s="35">
        <f t="shared" ref="AD19:AD23" si="5">+IF(AC19="","",IF(AC19="Automático",0.25,IF(AC19="Manual",0.15)))</f>
        <v>0.15</v>
      </c>
      <c r="AE19" s="34" t="s">
        <v>74</v>
      </c>
      <c r="AF19" s="35">
        <f t="shared" ref="AF19:AF23" si="6">+IF(AE19="","",IF(AE19="Documentado",0.5,IF(AE19="Sin documentar",0)))</f>
        <v>0.5</v>
      </c>
      <c r="AG19" s="34" t="s">
        <v>86</v>
      </c>
      <c r="AH19" s="35">
        <f t="shared" ref="AH19:AH23" si="7">+IF(AG19="","",IF(AG19="Continua",0.1,IF(AG19="Aleatoria",0.05)))</f>
        <v>0.05</v>
      </c>
      <c r="AI19" s="34" t="s">
        <v>76</v>
      </c>
      <c r="AJ19" s="36">
        <f t="shared" si="1"/>
        <v>0.05</v>
      </c>
      <c r="AK19" s="36">
        <f>+IF(AK18="","",AK18-(SUM(AB19,AD19,AF19,AH19,AJ19)*AK18))</f>
        <v>-7.4999999999999997E-3</v>
      </c>
      <c r="AL19" s="97"/>
      <c r="AM19" s="100"/>
      <c r="AN19" s="37">
        <f>+IF(AND(AA18="Correctivo",AA19="Correctivo",AA20="Correctivo"),AN18-(0.3*AN18),IF(AND(AA18="Correctivo",OR(AA19="Correctivo",AA20="Correctivo")),AN18-(0.2*AN18),IF(AND(AA19="Correctivo",OR(AA18="Correctivo",AA20="Correctivo")),AN18-(0.2*AN18),IF(AND(AA20="Correctivo",OR(AA19="Correctivo",AA18="Correctivo")),AN18-(0.2*AN18),IF(OR(AA18="Correctivo",AA19="Correctivo",AA20="Correctivo"),AN18-(0.1*AN18),AN18)))))</f>
        <v>0.72</v>
      </c>
      <c r="AO19" s="97"/>
      <c r="AP19" s="103"/>
      <c r="AQ19" s="100"/>
      <c r="AR19" s="115"/>
      <c r="AS19" s="115"/>
      <c r="AT19" s="38">
        <v>2</v>
      </c>
      <c r="AU19" s="23"/>
      <c r="AV19" s="24" t="s">
        <v>157</v>
      </c>
      <c r="AW19" s="49" t="s">
        <v>85</v>
      </c>
      <c r="AX19" s="22" t="s">
        <v>112</v>
      </c>
      <c r="AY19" s="23" t="s">
        <v>107</v>
      </c>
      <c r="AZ19" s="23" t="s">
        <v>252</v>
      </c>
      <c r="BA19" s="23"/>
      <c r="BB19" s="23"/>
      <c r="BC19" s="23" t="s">
        <v>237</v>
      </c>
      <c r="BD19" s="86"/>
      <c r="BE19" s="86"/>
      <c r="BF19" s="91"/>
    </row>
    <row r="20" spans="1:58" s="32" customFormat="1" ht="103.5" customHeight="1" thickBot="1" x14ac:dyDescent="0.3">
      <c r="A20" s="113"/>
      <c r="B20" s="89"/>
      <c r="C20" s="89"/>
      <c r="D20" s="89"/>
      <c r="E20" s="89"/>
      <c r="F20" s="89"/>
      <c r="G20" s="119"/>
      <c r="H20" s="120"/>
      <c r="I20" s="89"/>
      <c r="J20" s="89"/>
      <c r="K20" s="89"/>
      <c r="L20" s="89"/>
      <c r="M20" s="154"/>
      <c r="N20" s="119"/>
      <c r="O20" s="154"/>
      <c r="P20" s="162"/>
      <c r="Q20" s="119"/>
      <c r="R20" s="89"/>
      <c r="S20" s="89"/>
      <c r="T20" s="151"/>
      <c r="U20" s="39">
        <v>3</v>
      </c>
      <c r="V20" s="22" t="s">
        <v>100</v>
      </c>
      <c r="W20" s="24" t="s">
        <v>122</v>
      </c>
      <c r="X20" s="24" t="s">
        <v>119</v>
      </c>
      <c r="Y20" s="25" t="str">
        <f t="shared" si="0"/>
        <v xml:space="preserve">La almacenista general y su equipo de trabajo adelantará el proceso precontractual para dar de baja el inventario obsoleto con el fin de liberar espacio para nuevo inventario </v>
      </c>
      <c r="Z20" s="24" t="s">
        <v>125</v>
      </c>
      <c r="AA20" s="40" t="s">
        <v>72</v>
      </c>
      <c r="AB20" s="41">
        <f t="shared" si="4"/>
        <v>0.25</v>
      </c>
      <c r="AC20" s="40" t="s">
        <v>73</v>
      </c>
      <c r="AD20" s="41">
        <f t="shared" si="5"/>
        <v>0.15</v>
      </c>
      <c r="AE20" s="40" t="s">
        <v>93</v>
      </c>
      <c r="AF20" s="41">
        <f t="shared" si="6"/>
        <v>0</v>
      </c>
      <c r="AG20" s="40" t="s">
        <v>86</v>
      </c>
      <c r="AH20" s="41">
        <f t="shared" si="7"/>
        <v>0.05</v>
      </c>
      <c r="AI20" s="40" t="s">
        <v>76</v>
      </c>
      <c r="AJ20" s="42">
        <f t="shared" si="1"/>
        <v>0.05</v>
      </c>
      <c r="AK20" s="42">
        <f>+IF(AK19="","",AK19-(SUM(AB20,AD20,AF20,AH20,AJ20)*AK19))</f>
        <v>-3.7499999999999999E-3</v>
      </c>
      <c r="AL20" s="154"/>
      <c r="AM20" s="119"/>
      <c r="AN20" s="43">
        <f>+IF(R18="Evitar",#REF!-(#REF!*0.1),MIN(AN19:AN19))</f>
        <v>0.72</v>
      </c>
      <c r="AO20" s="154"/>
      <c r="AP20" s="162"/>
      <c r="AQ20" s="119"/>
      <c r="AR20" s="120"/>
      <c r="AS20" s="120"/>
      <c r="AT20" s="44">
        <v>3</v>
      </c>
      <c r="AU20" s="54"/>
      <c r="AV20" s="23" t="s">
        <v>105</v>
      </c>
      <c r="AW20" s="49" t="s">
        <v>256</v>
      </c>
      <c r="AX20" s="22" t="s">
        <v>112</v>
      </c>
      <c r="AY20" s="23" t="s">
        <v>107</v>
      </c>
      <c r="AZ20" s="24" t="s">
        <v>158</v>
      </c>
      <c r="BA20" s="78"/>
      <c r="BB20" s="79"/>
      <c r="BC20" s="24" t="s">
        <v>257</v>
      </c>
      <c r="BD20" s="89"/>
      <c r="BE20" s="89"/>
      <c r="BF20" s="110"/>
    </row>
    <row r="21" spans="1:58" s="32" customFormat="1" ht="158.25" customHeight="1" thickBot="1" x14ac:dyDescent="0.3">
      <c r="A21" s="111" t="s">
        <v>59</v>
      </c>
      <c r="B21" s="85" t="s">
        <v>160</v>
      </c>
      <c r="C21" s="85" t="s">
        <v>66</v>
      </c>
      <c r="D21" s="85" t="s">
        <v>67</v>
      </c>
      <c r="E21" s="85" t="s">
        <v>127</v>
      </c>
      <c r="F21" s="85" t="s">
        <v>128</v>
      </c>
      <c r="G21" s="99" t="str">
        <f t="shared" ref="G21" si="8">+IF(OR(D21&lt;&gt;"",E21&lt;&gt;"",F21&lt;&gt;""),CONCATENATE("Posibilidad de ",D21," por ",E21," debido a ",F21),"")</f>
        <v xml:space="preserve">Posibilidad de afectación económica y reputacional por entrega incorrecta de elementos a los funcionarios del Instituto   debido a  desactualización de información </v>
      </c>
      <c r="H21" s="114" t="s">
        <v>129</v>
      </c>
      <c r="I21" s="85" t="s">
        <v>68</v>
      </c>
      <c r="J21" s="85" t="s">
        <v>130</v>
      </c>
      <c r="K21" s="85" t="s">
        <v>131</v>
      </c>
      <c r="L21" s="85" t="s">
        <v>132</v>
      </c>
      <c r="M21" s="96">
        <f>+IF(K21="Máximo 2 veces",0.2,IF(K21="Entre 3 a 24 veces",0.4,IF(K21="Entre 24 a 500 veces",0.6,IF(K21="Entre 500 a 5000 veces",0.8,IF(K21="Mas de 5000 veces",1,"")))))</f>
        <v>0.4</v>
      </c>
      <c r="N21" s="99" t="str">
        <f>+IF(M21="","",IF(M21&gt;0.8,"Muy Alta",IF(AND(M21&lt;=0.8,M21&gt;0.6),"Alta",IF(AND(M21&lt;=0.6,M21&gt;0.4),"Media",IF(AND(M21&lt;=0.4,M21&gt;0.2),"Baja","Muy Baja")))))</f>
        <v>Baja</v>
      </c>
      <c r="O21" s="96">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0.4</v>
      </c>
      <c r="P21" s="102"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Menor</v>
      </c>
      <c r="Q21" s="99"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Moderado</v>
      </c>
      <c r="R21" s="85" t="s">
        <v>83</v>
      </c>
      <c r="S21" s="85" t="s">
        <v>71</v>
      </c>
      <c r="T21" s="93"/>
      <c r="U21" s="26">
        <v>1</v>
      </c>
      <c r="V21" s="22" t="s">
        <v>100</v>
      </c>
      <c r="W21" s="22" t="s">
        <v>153</v>
      </c>
      <c r="X21" s="22" t="s">
        <v>154</v>
      </c>
      <c r="Y21" s="25" t="str">
        <f t="shared" si="0"/>
        <v>La almacenista general y su equipo de trabajo continuará la actualización de la  codificación en área física de los elementos conforme a códigos manejados en  software  de inventarios  interface con contabilidad.</v>
      </c>
      <c r="Z21" s="22" t="s">
        <v>155</v>
      </c>
      <c r="AA21" s="27" t="s">
        <v>91</v>
      </c>
      <c r="AB21" s="28">
        <f>+IF(AA21="","",IF(AA21="Preventivo",0.25,IF(AA21="Detectivo",0.15,IF(AA21="Correctivo",0.1,))))</f>
        <v>0.15</v>
      </c>
      <c r="AC21" s="27" t="s">
        <v>73</v>
      </c>
      <c r="AD21" s="28">
        <f>+IF(AC21="","",IF(AC21="Automático",0.25,IF(AC21="Manual",0.15)))</f>
        <v>0.15</v>
      </c>
      <c r="AE21" s="27" t="s">
        <v>74</v>
      </c>
      <c r="AF21" s="28">
        <f>+IF(AE21="","",IF(AE21="Documentado",0.5,IF(AE21="Sin documentar",0)))</f>
        <v>0.5</v>
      </c>
      <c r="AG21" s="27" t="s">
        <v>86</v>
      </c>
      <c r="AH21" s="28">
        <f>+IF(AG21="","",IF(AG21="Continua",0.1,IF(AG21="Aleatoria",0.05)))</f>
        <v>0.05</v>
      </c>
      <c r="AI21" s="27" t="s">
        <v>76</v>
      </c>
      <c r="AJ21" s="29">
        <f>+IF(AI21="","",IF(AI21="Con registro",0.05,IF(AI21="Sin registro",0)))</f>
        <v>0.05</v>
      </c>
      <c r="AK21" s="29">
        <f>+IF(M21="","",M21-(SUM(AB21,AD21,AF21,AH21,AJ21)*M21))</f>
        <v>3.9999999999999925E-2</v>
      </c>
      <c r="AL21" s="96">
        <f>+IF(M21="","",MIN(AK21:AK23))</f>
        <v>0</v>
      </c>
      <c r="AM21" s="99" t="str">
        <f>+IF(AL21="","",IF(AL21&gt;0.8,"Muy Alta",IF(AND(AL21&lt;=0.8,AL21&gt;0.6),"Alta",IF(AND(AL21&lt;=0.6,AL21&gt;0.4),"Media",IF(AND(AL21&lt;=0.4,AL21&gt;0.2),"Baja","Muy Baja")))))</f>
        <v>Muy Baja</v>
      </c>
      <c r="AN21" s="30">
        <f>+IF(OR(S21="",S21="No"),O21,O21-(O21*T21))</f>
        <v>0.4</v>
      </c>
      <c r="AO21" s="96">
        <f>+IF(L21="","",MIN(AN22:AN23))</f>
        <v>0.32400000000000001</v>
      </c>
      <c r="AP21" s="102" t="str">
        <f>+IF(AO21="","",IF(AO21&gt;0.8,"Catastrófico",IF(AND(AO21&lt;=0.8,AO21&gt;0.6),"Mayor",IF(AND(AO21&lt;=0.6,AO21&gt;0.4),"Moderado",IF(AND(AO21&lt;=0.4,AO21&gt;0.2),"Menor","Leve")))))</f>
        <v>Menor</v>
      </c>
      <c r="AQ21" s="99" t="str">
        <f t="shared" ref="AQ21" si="9">+IF(OR(AL21="",AO21=""),"",IF(AND(AP21="Catastrófico",AM21&lt;&gt;""),"Extremo",IF(AND(AP21="Mayor",AM21&lt;&gt;""),"Alto",IF(AND(AM21="Muy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Bajo</v>
      </c>
      <c r="AR21" s="114" t="s">
        <v>137</v>
      </c>
      <c r="AS21" s="121">
        <v>1</v>
      </c>
      <c r="AT21" s="31">
        <v>1</v>
      </c>
      <c r="AU21" s="23"/>
      <c r="AV21" s="23" t="s">
        <v>133</v>
      </c>
      <c r="AW21" s="49" t="s">
        <v>85</v>
      </c>
      <c r="AX21" s="22" t="s">
        <v>134</v>
      </c>
      <c r="AY21" s="23" t="s">
        <v>107</v>
      </c>
      <c r="AZ21" s="22" t="s">
        <v>136</v>
      </c>
      <c r="BA21" s="76"/>
      <c r="BB21" s="74"/>
      <c r="BC21" s="22" t="s">
        <v>253</v>
      </c>
      <c r="BD21" s="85" t="s">
        <v>236</v>
      </c>
      <c r="BE21" s="88">
        <v>45646</v>
      </c>
      <c r="BF21" s="90"/>
    </row>
    <row r="22" spans="1:58" s="32" customFormat="1" ht="114" customHeight="1" thickBot="1" x14ac:dyDescent="0.3">
      <c r="A22" s="112"/>
      <c r="B22" s="86"/>
      <c r="C22" s="86"/>
      <c r="D22" s="86"/>
      <c r="E22" s="86"/>
      <c r="F22" s="86"/>
      <c r="G22" s="100"/>
      <c r="H22" s="115"/>
      <c r="I22" s="86"/>
      <c r="J22" s="86"/>
      <c r="K22" s="86"/>
      <c r="L22" s="86"/>
      <c r="M22" s="97"/>
      <c r="N22" s="100"/>
      <c r="O22" s="97"/>
      <c r="P22" s="103"/>
      <c r="Q22" s="100"/>
      <c r="R22" s="86"/>
      <c r="S22" s="86"/>
      <c r="T22" s="94"/>
      <c r="U22" s="33">
        <v>2</v>
      </c>
      <c r="V22" s="22" t="s">
        <v>100</v>
      </c>
      <c r="W22" s="23" t="s">
        <v>161</v>
      </c>
      <c r="X22" s="23" t="s">
        <v>162</v>
      </c>
      <c r="Y22" s="25" t="str">
        <f t="shared" si="0"/>
        <v xml:space="preserve">La almacenista general y su equipo de trabajo verificará los comprobantes de salida de inventario para validar códigos </v>
      </c>
      <c r="Z22" s="23" t="s">
        <v>163</v>
      </c>
      <c r="AA22" s="34" t="s">
        <v>72</v>
      </c>
      <c r="AB22" s="35">
        <f t="shared" si="4"/>
        <v>0.25</v>
      </c>
      <c r="AC22" s="34" t="s">
        <v>73</v>
      </c>
      <c r="AD22" s="35">
        <f t="shared" si="5"/>
        <v>0.15</v>
      </c>
      <c r="AE22" s="34" t="s">
        <v>74</v>
      </c>
      <c r="AF22" s="35">
        <f t="shared" si="6"/>
        <v>0.5</v>
      </c>
      <c r="AG22" s="34" t="s">
        <v>86</v>
      </c>
      <c r="AH22" s="35">
        <f t="shared" si="7"/>
        <v>0.05</v>
      </c>
      <c r="AI22" s="34" t="s">
        <v>76</v>
      </c>
      <c r="AJ22" s="36">
        <f t="shared" si="1"/>
        <v>0.05</v>
      </c>
      <c r="AK22" s="36">
        <f>+IF(AK21="","",AK21-(SUM(AB22,AD22,AF22,AH22,AJ22)*AK21))</f>
        <v>0</v>
      </c>
      <c r="AL22" s="97"/>
      <c r="AM22" s="100"/>
      <c r="AN22" s="37">
        <f>+IF(AND(AA21="Correctivo",AA22="Correctivo",AA23="Correctivo"),AN21-(0.3*AN21),IF(AND(AA21="Correctivo",OR(AA22="Correctivo",AA23="Correctivo")),AN21-(0.2*AN21),IF(AND(AA22="Correctivo",OR(AA21="Correctivo",AA23="Correctivo")),AN21-(0.2*AN21),IF(AND(AA23="Correctivo",OR(AA22="Correctivo",AA21="Correctivo")),AN21-(0.2*AN21),IF(OR(AA21="Correctivo",AA22="Correctivo",AA23="Correctivo"),AN21-(0.1*AN21),AN21)))))</f>
        <v>0.36</v>
      </c>
      <c r="AO22" s="97"/>
      <c r="AP22" s="103"/>
      <c r="AQ22" s="100"/>
      <c r="AR22" s="115"/>
      <c r="AS22" s="115"/>
      <c r="AT22" s="38">
        <v>2</v>
      </c>
      <c r="AU22" s="23"/>
      <c r="AV22" s="23" t="s">
        <v>133</v>
      </c>
      <c r="AW22" s="49" t="s">
        <v>85</v>
      </c>
      <c r="AX22" s="23" t="s">
        <v>135</v>
      </c>
      <c r="AY22" s="23" t="s">
        <v>107</v>
      </c>
      <c r="AZ22" s="22" t="s">
        <v>159</v>
      </c>
      <c r="BA22" s="76"/>
      <c r="BB22" s="72"/>
      <c r="BC22" s="23" t="s">
        <v>253</v>
      </c>
      <c r="BD22" s="86"/>
      <c r="BE22" s="86"/>
      <c r="BF22" s="91"/>
    </row>
    <row r="23" spans="1:58" s="32" customFormat="1" ht="161.25" customHeight="1" thickBot="1" x14ac:dyDescent="0.3">
      <c r="A23" s="113"/>
      <c r="B23" s="89"/>
      <c r="C23" s="89"/>
      <c r="D23" s="89"/>
      <c r="E23" s="89"/>
      <c r="F23" s="89"/>
      <c r="G23" s="119"/>
      <c r="H23" s="120"/>
      <c r="I23" s="89"/>
      <c r="J23" s="89"/>
      <c r="K23" s="89"/>
      <c r="L23" s="89"/>
      <c r="M23" s="154"/>
      <c r="N23" s="119"/>
      <c r="O23" s="154"/>
      <c r="P23" s="162"/>
      <c r="Q23" s="119"/>
      <c r="R23" s="89"/>
      <c r="S23" s="89"/>
      <c r="T23" s="151"/>
      <c r="U23" s="39">
        <v>3</v>
      </c>
      <c r="V23" s="22" t="s">
        <v>100</v>
      </c>
      <c r="W23" s="24" t="s">
        <v>170</v>
      </c>
      <c r="X23" s="24" t="s">
        <v>171</v>
      </c>
      <c r="Y23" s="25" t="str">
        <f>CONCATENATE(V23,W23,X23)</f>
        <v xml:space="preserve">La almacenista general y su equipo de trabajo diligenciará formato de actualización y verificación de bienes
para  documentar cambios en la información </v>
      </c>
      <c r="Z23" s="24" t="s">
        <v>172</v>
      </c>
      <c r="AA23" s="40" t="s">
        <v>84</v>
      </c>
      <c r="AB23" s="41">
        <f t="shared" si="4"/>
        <v>0.1</v>
      </c>
      <c r="AC23" s="40" t="s">
        <v>73</v>
      </c>
      <c r="AD23" s="41">
        <f t="shared" si="5"/>
        <v>0.15</v>
      </c>
      <c r="AE23" s="40" t="s">
        <v>74</v>
      </c>
      <c r="AF23" s="41">
        <f t="shared" si="6"/>
        <v>0.5</v>
      </c>
      <c r="AG23" s="40" t="s">
        <v>86</v>
      </c>
      <c r="AH23" s="41">
        <f t="shared" si="7"/>
        <v>0.05</v>
      </c>
      <c r="AI23" s="40" t="s">
        <v>76</v>
      </c>
      <c r="AJ23" s="42">
        <f t="shared" si="1"/>
        <v>0.05</v>
      </c>
      <c r="AK23" s="42">
        <f>+IF(AK22="","",AK22-(SUM(AB23,AD23,AF23,AH23,AJ23)*AK22))</f>
        <v>0</v>
      </c>
      <c r="AL23" s="154"/>
      <c r="AM23" s="119"/>
      <c r="AN23" s="37">
        <f>+IF(AND(AA22="Correctivo",AA23="Correctivo",AA24="Correctivo"),AN22-(0.3*AN22),IF(AND(AA22="Correctivo",OR(AA23="Correctivo",AA24="Correctivo")),AN22-(0.2*AN22),IF(AND(AA23="Correctivo",OR(AA22="Correctivo",AA24="Correctivo")),AN22-(0.2*AN22),IF(AND(AA24="Correctivo",OR(AA23="Correctivo",AA22="Correctivo")),AN22-(0.2*AN22),IF(OR(AA22="Correctivo",AA23="Correctivo",AA24="Correctivo"),AN22-(0.1*AN22),AN22)))))</f>
        <v>0.32400000000000001</v>
      </c>
      <c r="AO23" s="154"/>
      <c r="AP23" s="162"/>
      <c r="AQ23" s="119"/>
      <c r="AR23" s="115"/>
      <c r="AS23" s="115"/>
      <c r="AT23" s="56">
        <v>3</v>
      </c>
      <c r="AU23" s="59"/>
      <c r="AV23" s="23" t="s">
        <v>133</v>
      </c>
      <c r="AW23" s="49" t="s">
        <v>189</v>
      </c>
      <c r="AX23" s="54" t="s">
        <v>190</v>
      </c>
      <c r="AY23" s="23" t="s">
        <v>107</v>
      </c>
      <c r="AZ23" s="54" t="s">
        <v>191</v>
      </c>
      <c r="BA23" s="76"/>
      <c r="BB23" s="73"/>
      <c r="BC23" s="54" t="s">
        <v>253</v>
      </c>
      <c r="BD23" s="89"/>
      <c r="BE23" s="89"/>
      <c r="BF23" s="110"/>
    </row>
    <row r="24" spans="1:58" s="32" customFormat="1" ht="147.75" customHeight="1" thickBot="1" x14ac:dyDescent="0.3">
      <c r="A24" s="111" t="s">
        <v>87</v>
      </c>
      <c r="B24" s="85" t="s">
        <v>140</v>
      </c>
      <c r="C24" s="85" t="s">
        <v>141</v>
      </c>
      <c r="D24" s="85" t="s">
        <v>67</v>
      </c>
      <c r="E24" s="85" t="s">
        <v>139</v>
      </c>
      <c r="F24" s="85" t="s">
        <v>203</v>
      </c>
      <c r="G24" s="99" t="str">
        <f>+IF(OR(D24&lt;&gt;"",E24&lt;&gt;"",F24&lt;&gt;""),CONCATENATE("Posibilidad de ",D24," por ",E24," debido a ",F24),"")</f>
        <v>Posibilidad de afectación económica y reputacional por pérdida, robo o daño de recursos físicos de la entidad  debido a  falta de controles en la vigilancia, debilidades en los
controles establecidos para la
custodia de bienes, recibo y traslado
de los mismos a las diferentes
dependencias de INFIBAGUE que lo
requieran, Falta de vigilancia en el ingreso de personal, Acceso de personal ajeno al Instituto para los inmuebles arrendados o en comodato</v>
      </c>
      <c r="H24" s="114" t="s">
        <v>204</v>
      </c>
      <c r="I24" s="85" t="s">
        <v>142</v>
      </c>
      <c r="J24" s="85" t="s">
        <v>89</v>
      </c>
      <c r="K24" s="85" t="s">
        <v>82</v>
      </c>
      <c r="L24" s="85" t="s">
        <v>132</v>
      </c>
      <c r="M24" s="96">
        <f>+IF(K24="Máximo 2 veces",0.2,IF(K24="Entre 3 a 24 veces",0.4,IF(K24="Entre 24 a 500 veces",0.6,IF(K24="Entre 500 a 5000 veces",0.8,IF(K24="Mas de 5000 veces",1,"")))))</f>
        <v>0.6</v>
      </c>
      <c r="N24" s="99" t="str">
        <f>+IF(M24="","",IF(M24&gt;0.8,"Muy Alta",IF(AND(M24&lt;=0.8,M24&gt;0.6),"Alta",IF(AND(M24&lt;=0.6,M24&gt;0.4),"Media",IF(AND(M24&lt;=0.4,M24&gt;0.2),"Baja","Muy Baja")))))</f>
        <v>Media</v>
      </c>
      <c r="O24" s="96">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0.4</v>
      </c>
      <c r="P24" s="102"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Menor</v>
      </c>
      <c r="Q24" s="99"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Moderado</v>
      </c>
      <c r="R24" s="85" t="s">
        <v>70</v>
      </c>
      <c r="S24" s="85" t="s">
        <v>71</v>
      </c>
      <c r="T24" s="93"/>
      <c r="U24" s="26">
        <v>1</v>
      </c>
      <c r="V24" s="22" t="s">
        <v>100</v>
      </c>
      <c r="W24" s="22" t="s">
        <v>173</v>
      </c>
      <c r="X24" s="22" t="s">
        <v>174</v>
      </c>
      <c r="Y24" s="25" t="str">
        <f t="shared" si="0"/>
        <v>La almacenista general y su equipo de trabajo enviar circulares periódicas a los encargados del proceso de vigilancia de la entidad para mayor control de las entradas y salidas de materiales, insumos o equipos.</v>
      </c>
      <c r="Z24" s="22" t="s">
        <v>148</v>
      </c>
      <c r="AA24" s="27" t="s">
        <v>72</v>
      </c>
      <c r="AB24" s="28">
        <f>+IF(AA24="","",IF(AA24="Preventivo",0.25,IF(AA24="Detectivo",0.15,IF(AA24="Correctivo",0.1,))))</f>
        <v>0.25</v>
      </c>
      <c r="AC24" s="27" t="s">
        <v>73</v>
      </c>
      <c r="AD24" s="28">
        <f>+IF(AC24="","",IF(AC24="Automático",0.25,IF(AC24="Manual",0.15)))</f>
        <v>0.15</v>
      </c>
      <c r="AE24" s="27" t="s">
        <v>74</v>
      </c>
      <c r="AF24" s="28">
        <f>+IF(AE24="","",IF(AE24="Documentado",0.5,IF(AE24="Sin documentar",0)))</f>
        <v>0.5</v>
      </c>
      <c r="AG24" s="27" t="s">
        <v>86</v>
      </c>
      <c r="AH24" s="28">
        <f>+IF(AG24="","",IF(AG24="Continua",0.1,IF(AG24="Aleatoria",0.05)))</f>
        <v>0.05</v>
      </c>
      <c r="AI24" s="27" t="s">
        <v>76</v>
      </c>
      <c r="AJ24" s="29">
        <f>+IF(AI24="","",IF(AI24="Con registro",0.05,IF(AI24="Sin registro",0)))</f>
        <v>0.05</v>
      </c>
      <c r="AK24" s="29">
        <f>+IF(M24="","",M24-(SUM(AB24,AD24,AF24,AH24,AJ24)*M24))</f>
        <v>0</v>
      </c>
      <c r="AL24" s="96">
        <f>+IF(M24="","",MIN(AK24:AK26))</f>
        <v>0</v>
      </c>
      <c r="AM24" s="99" t="str">
        <f>+IF(AL24="","",IF(AL24&gt;0.8,"Muy Alta",IF(AND(AL24&lt;=0.8,AL24&gt;0.6),"Alta",IF(AND(AL24&lt;=0.6,AL24&gt;0.4),"Media",IF(AND(AL24&lt;=0.4,AL24&gt;0.2),"Baja","Muy Baja")))))</f>
        <v>Muy Baja</v>
      </c>
      <c r="AN24" s="30">
        <f>+IF(OR(S24="",S24="No"),O24,O24-(O24*T24))</f>
        <v>0.4</v>
      </c>
      <c r="AO24" s="96">
        <f>+IF(L24="","",MIN(AN25:AN26))</f>
        <v>0.32400000000000001</v>
      </c>
      <c r="AP24" s="102" t="str">
        <f>+IF(AO24="","",IF(AO24&gt;0.8,"Catastrófico",IF(AND(AO24&lt;=0.8,AO24&gt;0.6),"Mayor",IF(AND(AO24&lt;=0.6,AO24&gt;0.4),"Moderado",IF(AND(AO24&lt;=0.4,AO24&gt;0.2),"Menor","Leve")))))</f>
        <v>Menor</v>
      </c>
      <c r="AQ24" s="99" t="str">
        <f t="shared" ref="AQ24" si="10">+IF(OR(AL24="",AO24=""),"",IF(AND(AP24="Catastrófico",AM24&lt;&gt;""),"Extremo",IF(AND(AP24="Mayor",AM24&lt;&gt;""),"Alto",IF(AND(AM24="Muy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Bajo</v>
      </c>
      <c r="AR24" s="86" t="s">
        <v>184</v>
      </c>
      <c r="AS24" s="109">
        <v>1</v>
      </c>
      <c r="AT24" s="38">
        <v>1</v>
      </c>
      <c r="AU24" s="23"/>
      <c r="AV24" s="23" t="s">
        <v>105</v>
      </c>
      <c r="AW24" s="49" t="s">
        <v>181</v>
      </c>
      <c r="AX24" s="23" t="s">
        <v>182</v>
      </c>
      <c r="AY24" s="23" t="s">
        <v>107</v>
      </c>
      <c r="AZ24" s="23" t="s">
        <v>183</v>
      </c>
      <c r="BA24" s="80"/>
      <c r="BB24" s="72"/>
      <c r="BC24" s="23" t="s">
        <v>235</v>
      </c>
      <c r="BD24" s="85" t="s">
        <v>236</v>
      </c>
      <c r="BE24" s="88">
        <v>45646</v>
      </c>
      <c r="BF24" s="90"/>
    </row>
    <row r="25" spans="1:58" s="32" customFormat="1" ht="120.75" customHeight="1" thickBot="1" x14ac:dyDescent="0.3">
      <c r="A25" s="112"/>
      <c r="B25" s="86"/>
      <c r="C25" s="86"/>
      <c r="D25" s="86"/>
      <c r="E25" s="86"/>
      <c r="F25" s="86"/>
      <c r="G25" s="100"/>
      <c r="H25" s="115"/>
      <c r="I25" s="86"/>
      <c r="J25" s="86"/>
      <c r="K25" s="86"/>
      <c r="L25" s="86"/>
      <c r="M25" s="97"/>
      <c r="N25" s="100"/>
      <c r="O25" s="97"/>
      <c r="P25" s="103"/>
      <c r="Q25" s="100"/>
      <c r="R25" s="86"/>
      <c r="S25" s="86"/>
      <c r="T25" s="94"/>
      <c r="U25" s="33">
        <v>2</v>
      </c>
      <c r="V25" s="22" t="s">
        <v>100</v>
      </c>
      <c r="W25" s="23" t="s">
        <v>175</v>
      </c>
      <c r="X25" s="23" t="s">
        <v>176</v>
      </c>
      <c r="Y25" s="25" t="str">
        <f t="shared" si="0"/>
        <v>La almacenista general y su equipo de trabajo realizarán la actualización de  responsabilidades y verificación periódica de los bienes del instituto para tener el control los bienes muebles e inmuebles</v>
      </c>
      <c r="Z25" s="23" t="s">
        <v>177</v>
      </c>
      <c r="AA25" s="34" t="s">
        <v>72</v>
      </c>
      <c r="AB25" s="35">
        <f t="shared" ref="AB25:AB26" si="11">+IF(AA25="","",IF(AA25="Preventivo",0.25,IF(AA25="Detectivo",0.15,IF(AA25="Correctivo",0.1,))))</f>
        <v>0.25</v>
      </c>
      <c r="AC25" s="34" t="s">
        <v>73</v>
      </c>
      <c r="AD25" s="35">
        <f t="shared" ref="AD25:AD26" si="12">+IF(AC25="","",IF(AC25="Automático",0.25,IF(AC25="Manual",0.15)))</f>
        <v>0.15</v>
      </c>
      <c r="AE25" s="34" t="s">
        <v>93</v>
      </c>
      <c r="AF25" s="35">
        <f t="shared" ref="AF25:AF26" si="13">+IF(AE25="","",IF(AE25="Documentado",0.5,IF(AE25="Sin documentar",0)))</f>
        <v>0</v>
      </c>
      <c r="AG25" s="34" t="s">
        <v>86</v>
      </c>
      <c r="AH25" s="35">
        <f t="shared" ref="AH25:AH26" si="14">+IF(AG25="","",IF(AG25="Continua",0.1,IF(AG25="Aleatoria",0.05)))</f>
        <v>0.05</v>
      </c>
      <c r="AI25" s="34" t="s">
        <v>76</v>
      </c>
      <c r="AJ25" s="36">
        <f t="shared" ref="AJ25:AJ26" si="15">+IF(AI25="","",IF(AI25="Con registro",0.05,IF(AI25="Sin registro",0)))</f>
        <v>0.05</v>
      </c>
      <c r="AK25" s="36">
        <f>+IF(AK24="","",AK24-(SUM(AB25,AD25,AF25,AH25,AJ25)*AK24))</f>
        <v>0</v>
      </c>
      <c r="AL25" s="97"/>
      <c r="AM25" s="100"/>
      <c r="AN25" s="37">
        <f>+IF(AND(AA24="Correctivo",AA25="Correctivo",AA26="Correctivo"),AN24-(0.3*AN24),IF(AND(AA24="Correctivo",OR(AA25="Correctivo",AA26="Correctivo")),AN24-(0.2*AN24),IF(AND(AA25="Correctivo",OR(AA24="Correctivo",AA26="Correctivo")),AN24-(0.2*AN24),IF(AND(AA26="Correctivo",OR(AA25="Correctivo",AA24="Correctivo")),AN24-(0.2*AN24),IF(OR(AA24="Correctivo",AA25="Correctivo",AA26="Correctivo"),AN24-(0.1*AN24),AN24)))))</f>
        <v>0.36</v>
      </c>
      <c r="AO25" s="97"/>
      <c r="AP25" s="103"/>
      <c r="AQ25" s="100"/>
      <c r="AR25" s="86"/>
      <c r="AS25" s="86"/>
      <c r="AT25" s="38">
        <v>2</v>
      </c>
      <c r="AU25" s="23"/>
      <c r="AV25" s="23" t="s">
        <v>105</v>
      </c>
      <c r="AW25" s="49" t="s">
        <v>85</v>
      </c>
      <c r="AX25" s="23" t="s">
        <v>185</v>
      </c>
      <c r="AY25" s="23" t="s">
        <v>107</v>
      </c>
      <c r="AZ25" s="23" t="s">
        <v>186</v>
      </c>
      <c r="BA25" s="23"/>
      <c r="BB25" s="72"/>
      <c r="BC25" s="23" t="s">
        <v>235</v>
      </c>
      <c r="BD25" s="86"/>
      <c r="BE25" s="86"/>
      <c r="BF25" s="91"/>
    </row>
    <row r="26" spans="1:58" s="32" customFormat="1" ht="131.25" customHeight="1" thickBot="1" x14ac:dyDescent="0.3">
      <c r="A26" s="113"/>
      <c r="B26" s="89"/>
      <c r="C26" s="89"/>
      <c r="D26" s="89"/>
      <c r="E26" s="89"/>
      <c r="F26" s="89"/>
      <c r="G26" s="119"/>
      <c r="H26" s="120"/>
      <c r="I26" s="89"/>
      <c r="J26" s="89"/>
      <c r="K26" s="89"/>
      <c r="L26" s="89"/>
      <c r="M26" s="154"/>
      <c r="N26" s="119"/>
      <c r="O26" s="154"/>
      <c r="P26" s="162"/>
      <c r="Q26" s="119"/>
      <c r="R26" s="89"/>
      <c r="S26" s="89"/>
      <c r="T26" s="151"/>
      <c r="U26" s="39">
        <v>3</v>
      </c>
      <c r="V26" s="22" t="s">
        <v>100</v>
      </c>
      <c r="W26" s="24" t="s">
        <v>178</v>
      </c>
      <c r="X26" s="24" t="s">
        <v>179</v>
      </c>
      <c r="Y26" s="25" t="str">
        <f t="shared" si="0"/>
        <v xml:space="preserve">La almacenista general y su equipo de trabajo realizará reportes sobre novedades presentadas en cuanto a pérdida de inventario al área competente. para que se realice el debido proceso de denuncia </v>
      </c>
      <c r="Z26" s="24" t="s">
        <v>180</v>
      </c>
      <c r="AA26" s="40" t="s">
        <v>84</v>
      </c>
      <c r="AB26" s="41">
        <f t="shared" si="11"/>
        <v>0.1</v>
      </c>
      <c r="AC26" s="40" t="s">
        <v>73</v>
      </c>
      <c r="AD26" s="41">
        <f t="shared" si="12"/>
        <v>0.15</v>
      </c>
      <c r="AE26" s="40" t="s">
        <v>74</v>
      </c>
      <c r="AF26" s="41">
        <f t="shared" si="13"/>
        <v>0.5</v>
      </c>
      <c r="AG26" s="40" t="s">
        <v>86</v>
      </c>
      <c r="AH26" s="41">
        <f t="shared" si="14"/>
        <v>0.05</v>
      </c>
      <c r="AI26" s="40" t="s">
        <v>76</v>
      </c>
      <c r="AJ26" s="42">
        <f t="shared" si="15"/>
        <v>0.05</v>
      </c>
      <c r="AK26" s="42">
        <f>+IF(AK25="","",AK25-(SUM(AB26,AD26,AF26,AH26,AJ26)*AK25))</f>
        <v>0</v>
      </c>
      <c r="AL26" s="154"/>
      <c r="AM26" s="119"/>
      <c r="AN26" s="37">
        <f>+IF(AND(AA25="Correctivo",AA26="Correctivo",AA27="Correctivo"),AN25-(0.3*AN25),IF(AND(AA25="Correctivo",OR(AA26="Correctivo",AA27="Correctivo")),AN25-(0.2*AN25),IF(AND(AA26="Correctivo",OR(AA25="Correctivo",AA27="Correctivo")),AN25-(0.2*AN25),IF(AND(AA27="Correctivo",OR(AA26="Correctivo",AA25="Correctivo")),AN25-(0.2*AN25),IF(OR(AA25="Correctivo",AA26="Correctivo",AA27="Correctivo"),AN25-(0.1*AN25),AN25)))))</f>
        <v>0.32400000000000001</v>
      </c>
      <c r="AO26" s="154"/>
      <c r="AP26" s="162"/>
      <c r="AQ26" s="119"/>
      <c r="AR26" s="86"/>
      <c r="AS26" s="86"/>
      <c r="AT26" s="38">
        <v>3</v>
      </c>
      <c r="AU26" s="23"/>
      <c r="AV26" s="72">
        <v>0.2</v>
      </c>
      <c r="AW26" s="49" t="s">
        <v>85</v>
      </c>
      <c r="AX26" s="23" t="s">
        <v>187</v>
      </c>
      <c r="AY26" s="23" t="s">
        <v>107</v>
      </c>
      <c r="AZ26" s="23" t="s">
        <v>188</v>
      </c>
      <c r="BA26" s="23"/>
      <c r="BB26" s="72"/>
      <c r="BC26" s="23" t="s">
        <v>253</v>
      </c>
      <c r="BD26" s="89"/>
      <c r="BE26" s="89"/>
      <c r="BF26" s="110"/>
    </row>
    <row r="27" spans="1:58" s="32" customFormat="1" ht="115.5" customHeight="1" thickBot="1" x14ac:dyDescent="0.3">
      <c r="A27" s="111" t="s">
        <v>88</v>
      </c>
      <c r="B27" s="85" t="s">
        <v>145</v>
      </c>
      <c r="C27" s="85" t="s">
        <v>92</v>
      </c>
      <c r="D27" s="85" t="s">
        <v>67</v>
      </c>
      <c r="E27" s="85" t="s">
        <v>143</v>
      </c>
      <c r="F27" s="85" t="s">
        <v>144</v>
      </c>
      <c r="G27" s="99" t="str">
        <f t="shared" ref="G27" si="16">+IF(OR(D27&lt;&gt;"",E27&lt;&gt;"",F27&lt;&gt;""),CONCATENATE("Posibilidad de ",D27," por ",E27," debido a ",F27),"")</f>
        <v>Posibilidad de afectación económica y reputacional por deterioro de los inmuebles  debido a recursos insuficientes para un adecuado mantenimiento que cubra la totalidad de la necesidad</v>
      </c>
      <c r="H27" s="114" t="s">
        <v>146</v>
      </c>
      <c r="I27" s="85" t="s">
        <v>81</v>
      </c>
      <c r="J27" s="85" t="s">
        <v>89</v>
      </c>
      <c r="K27" s="85" t="s">
        <v>82</v>
      </c>
      <c r="L27" s="85" t="s">
        <v>233</v>
      </c>
      <c r="M27" s="96">
        <f>+IF(K27="Máximo 2 veces",0.2,IF(K27="Entre 3 a 24 veces",0.4,IF(K27="Entre 24 a 500 veces",0.6,IF(K27="Entre 500 a 5000 veces",0.8,IF(K27="Mas de 5000 veces",1,"")))))</f>
        <v>0.6</v>
      </c>
      <c r="N27" s="99" t="str">
        <f>+IF(M27="","",IF(M27&gt;0.8,"Muy Alta",IF(AND(M27&lt;=0.8,M27&gt;0.6),"Alta",IF(AND(M27&lt;=0.6,M27&gt;0.4),"Media",IF(AND(M27&lt;=0.4,M27&gt;0.2),"Baja","Muy Baja")))))</f>
        <v>Media</v>
      </c>
      <c r="O27" s="96">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0.8</v>
      </c>
      <c r="P27" s="102"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Mayor</v>
      </c>
      <c r="Q27" s="99"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85" t="s">
        <v>83</v>
      </c>
      <c r="S27" s="85" t="s">
        <v>71</v>
      </c>
      <c r="T27" s="93"/>
      <c r="U27" s="26">
        <v>1</v>
      </c>
      <c r="V27" s="22" t="s">
        <v>100</v>
      </c>
      <c r="W27" s="22" t="s">
        <v>150</v>
      </c>
      <c r="X27" s="22" t="s">
        <v>192</v>
      </c>
      <c r="Y27" s="25" t="str">
        <f t="shared" si="0"/>
        <v xml:space="preserve">La almacenista general y su equipo de trabajo Solicitará ante comités inmobiliarios y la alta gerencia, los requerimientos necesarios para reducir el deterioro de los inmueblescon el fin de cumplir normativamente con las condiciones locativas </v>
      </c>
      <c r="Z27" s="22" t="s">
        <v>149</v>
      </c>
      <c r="AA27" s="27" t="s">
        <v>91</v>
      </c>
      <c r="AB27" s="28">
        <f>+IF(AA27="","",IF(AA27="Preventivo",0.25,IF(AA27="Detectivo",0.15,IF(AA27="Correctivo",0.1,))))</f>
        <v>0.15</v>
      </c>
      <c r="AC27" s="27" t="s">
        <v>73</v>
      </c>
      <c r="AD27" s="28">
        <f>+IF(AC27="","",IF(AC27="Automático",0.25,IF(AC27="Manual",0.15)))</f>
        <v>0.15</v>
      </c>
      <c r="AE27" s="27" t="s">
        <v>74</v>
      </c>
      <c r="AF27" s="28">
        <f>+IF(AE27="","",IF(AE27="Documentado",0.5,IF(AE27="Sin documentar",0)))</f>
        <v>0.5</v>
      </c>
      <c r="AG27" s="27" t="s">
        <v>86</v>
      </c>
      <c r="AH27" s="28">
        <f>+IF(AG27="","",IF(AG27="Continua",0.1,IF(AG27="Aleatoria",0.05)))</f>
        <v>0.05</v>
      </c>
      <c r="AI27" s="27" t="s">
        <v>76</v>
      </c>
      <c r="AJ27" s="29">
        <f>+IF(AI27="","",IF(AI27="Con registro",0.05,IF(AI27="Sin registro",0)))</f>
        <v>0.05</v>
      </c>
      <c r="AK27" s="29">
        <f>+IF(M27="","",M27-(SUM(AB27,AD27,AF27,AH27,AJ27)*M27))</f>
        <v>5.9999999999999942E-2</v>
      </c>
      <c r="AL27" s="96">
        <f>+IF(M27="","",MIN(AK27:AK29))</f>
        <v>3.5999999999999921E-3</v>
      </c>
      <c r="AM27" s="99" t="str">
        <f>+IF(AL27="","",IF(AL27&gt;0.8,"Muy Alta",IF(AND(AL27&lt;=0.8,AL27&gt;0.6),"Alta",IF(AND(AL27&lt;=0.6,AL27&gt;0.4),"Media",IF(AND(AL27&lt;=0.4,AL27&gt;0.2),"Baja","Muy Baja")))))</f>
        <v>Muy Baja</v>
      </c>
      <c r="AN27" s="30">
        <f>+IF(OR(S27="",S27="No"),O27,O27-(O27*T27))</f>
        <v>0.8</v>
      </c>
      <c r="AO27" s="96">
        <f>+IF(L27="","",MIN(AN28:AN29))</f>
        <v>0.64800000000000002</v>
      </c>
      <c r="AP27" s="102" t="str">
        <f>+IF(AO27="","",IF(AO27&gt;0.8,"Catastrófico",IF(AND(AO27&lt;=0.8,AO27&gt;0.6),"Mayor",IF(AND(AO27&lt;=0.6,AO27&gt;0.4),"Moderado",IF(AND(AO27&lt;=0.4,AO27&gt;0.2),"Menor","Leve")))))</f>
        <v>Mayor</v>
      </c>
      <c r="AQ27" s="99" t="str">
        <f t="shared" ref="AQ27" si="17">+IF(OR(AL27="",AO27=""),"",IF(AND(AP27="Catastrófico",AM27&lt;&gt;""),"Extremo",IF(AND(AP27="Mayor",AM27&lt;&gt;""),"Alto",IF(AND(AM27="Muy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Alto</v>
      </c>
      <c r="AR27" s="86" t="s">
        <v>196</v>
      </c>
      <c r="AS27" s="105" t="s">
        <v>258</v>
      </c>
      <c r="AT27" s="38">
        <v>1</v>
      </c>
      <c r="AU27" s="23"/>
      <c r="AV27" s="23" t="s">
        <v>105</v>
      </c>
      <c r="AW27" s="23" t="s">
        <v>197</v>
      </c>
      <c r="AX27" s="23" t="s">
        <v>198</v>
      </c>
      <c r="AY27" s="23" t="s">
        <v>107</v>
      </c>
      <c r="AZ27" s="23" t="s">
        <v>238</v>
      </c>
      <c r="BA27" s="81"/>
      <c r="BB27" s="72"/>
      <c r="BC27" s="23" t="s">
        <v>235</v>
      </c>
      <c r="BD27" s="85" t="s">
        <v>236</v>
      </c>
      <c r="BE27" s="88">
        <v>45646</v>
      </c>
      <c r="BF27" s="90"/>
    </row>
    <row r="28" spans="1:58" s="32" customFormat="1" ht="127.5" customHeight="1" thickBot="1" x14ac:dyDescent="0.3">
      <c r="A28" s="112"/>
      <c r="B28" s="86"/>
      <c r="C28" s="86"/>
      <c r="D28" s="86"/>
      <c r="E28" s="86"/>
      <c r="F28" s="86"/>
      <c r="G28" s="100"/>
      <c r="H28" s="115"/>
      <c r="I28" s="86"/>
      <c r="J28" s="86"/>
      <c r="K28" s="86"/>
      <c r="L28" s="86"/>
      <c r="M28" s="97"/>
      <c r="N28" s="100"/>
      <c r="O28" s="97"/>
      <c r="P28" s="103"/>
      <c r="Q28" s="100"/>
      <c r="R28" s="86"/>
      <c r="S28" s="86"/>
      <c r="T28" s="94"/>
      <c r="U28" s="33">
        <v>2</v>
      </c>
      <c r="V28" s="22" t="s">
        <v>100</v>
      </c>
      <c r="W28" s="23" t="s">
        <v>151</v>
      </c>
      <c r="X28" s="23" t="s">
        <v>194</v>
      </c>
      <c r="Y28" s="25" t="str">
        <f t="shared" si="0"/>
        <v xml:space="preserve">La almacenista general y su equipo de trabajo realizará seguimiento a las condiciones de los inmuebles propiedad o bajo administración de la entidad. para contar con el diagnóstico de las necesidades en cada uno. </v>
      </c>
      <c r="Z28" s="23" t="s">
        <v>152</v>
      </c>
      <c r="AA28" s="34" t="s">
        <v>91</v>
      </c>
      <c r="AB28" s="35">
        <f t="shared" ref="AB28:AB29" si="18">+IF(AA28="","",IF(AA28="Preventivo",0.25,IF(AA28="Detectivo",0.15,IF(AA28="Correctivo",0.1,))))</f>
        <v>0.15</v>
      </c>
      <c r="AC28" s="34" t="s">
        <v>73</v>
      </c>
      <c r="AD28" s="35">
        <f t="shared" ref="AD28:AD29" si="19">+IF(AC28="","",IF(AC28="Automático",0.25,IF(AC28="Manual",0.15)))</f>
        <v>0.15</v>
      </c>
      <c r="AE28" s="34" t="s">
        <v>93</v>
      </c>
      <c r="AF28" s="35">
        <f t="shared" ref="AF28:AF29" si="20">+IF(AE28="","",IF(AE28="Documentado",0.5,IF(AE28="Sin documentar",0)))</f>
        <v>0</v>
      </c>
      <c r="AG28" s="34" t="s">
        <v>86</v>
      </c>
      <c r="AH28" s="35">
        <f t="shared" ref="AH28:AH29" si="21">+IF(AG28="","",IF(AG28="Continua",0.1,IF(AG28="Aleatoria",0.05)))</f>
        <v>0.05</v>
      </c>
      <c r="AI28" s="34" t="s">
        <v>76</v>
      </c>
      <c r="AJ28" s="36">
        <f t="shared" ref="AJ28:AJ29" si="22">+IF(AI28="","",IF(AI28="Con registro",0.05,IF(AI28="Sin registro",0)))</f>
        <v>0.05</v>
      </c>
      <c r="AK28" s="36">
        <f>+IF(AK27="","",AK27-(SUM(AB28,AD28,AF28,AH28,AJ28)*AK27))</f>
        <v>3.5999999999999963E-2</v>
      </c>
      <c r="AL28" s="97"/>
      <c r="AM28" s="100"/>
      <c r="AN28" s="37">
        <f>+IF(AND(AA27="Correctivo",AA28="Correctivo",AA29="Correctivo"),AN27-(0.3*AN27),IF(AND(AA27="Correctivo",OR(AA28="Correctivo",AA29="Correctivo")),AN27-(0.2*AN27),IF(AND(AA28="Correctivo",OR(AA27="Correctivo",AA29="Correctivo")),AN27-(0.2*AN27),IF(AND(AA29="Correctivo",OR(AA28="Correctivo",AA27="Correctivo")),AN27-(0.2*AN27),IF(OR(AA27="Correctivo",AA28="Correctivo",AA29="Correctivo"),AN27-(0.1*AN27),AN27)))))</f>
        <v>0.72</v>
      </c>
      <c r="AO28" s="97"/>
      <c r="AP28" s="103"/>
      <c r="AQ28" s="100"/>
      <c r="AR28" s="86"/>
      <c r="AS28" s="106"/>
      <c r="AT28" s="38">
        <v>2</v>
      </c>
      <c r="AU28" s="23"/>
      <c r="AV28" s="23" t="s">
        <v>105</v>
      </c>
      <c r="AW28" s="23" t="s">
        <v>197</v>
      </c>
      <c r="AX28" s="23" t="s">
        <v>198</v>
      </c>
      <c r="AY28" s="23" t="s">
        <v>107</v>
      </c>
      <c r="AZ28" s="23" t="s">
        <v>199</v>
      </c>
      <c r="BA28" s="81"/>
      <c r="BB28" s="72"/>
      <c r="BC28" s="23" t="s">
        <v>237</v>
      </c>
      <c r="BD28" s="86"/>
      <c r="BE28" s="86"/>
      <c r="BF28" s="91"/>
    </row>
    <row r="29" spans="1:58" s="32" customFormat="1" ht="142.5" customHeight="1" thickBot="1" x14ac:dyDescent="0.3">
      <c r="A29" s="113"/>
      <c r="B29" s="87"/>
      <c r="C29" s="87"/>
      <c r="D29" s="87"/>
      <c r="E29" s="87"/>
      <c r="F29" s="87"/>
      <c r="G29" s="101"/>
      <c r="H29" s="115"/>
      <c r="I29" s="87"/>
      <c r="J29" s="87"/>
      <c r="K29" s="87"/>
      <c r="L29" s="87"/>
      <c r="M29" s="98"/>
      <c r="N29" s="101"/>
      <c r="O29" s="98"/>
      <c r="P29" s="104"/>
      <c r="Q29" s="101"/>
      <c r="R29" s="87"/>
      <c r="S29" s="89"/>
      <c r="T29" s="95"/>
      <c r="U29" s="63">
        <v>3</v>
      </c>
      <c r="V29" s="61" t="s">
        <v>100</v>
      </c>
      <c r="W29" s="54" t="s">
        <v>254</v>
      </c>
      <c r="X29" s="54" t="s">
        <v>193</v>
      </c>
      <c r="Y29" s="64" t="str">
        <f t="shared" si="0"/>
        <v xml:space="preserve">La almacenista general y su equipo de trabajo pondrá en consideración del comité inmobiliario la posibilidad de realizar inversiones en gestión compartida o a través de cruces con cánones de arrendamiento en algunos casoscon el fin de prevenir deterioro acleerado de los inmuebles, y cumplir normativamente , satisfaciendos las necesidades de usuarios y arrendatarios. </v>
      </c>
      <c r="Z29" s="54" t="s">
        <v>195</v>
      </c>
      <c r="AA29" s="65" t="s">
        <v>84</v>
      </c>
      <c r="AB29" s="66">
        <f t="shared" si="18"/>
        <v>0.1</v>
      </c>
      <c r="AC29" s="65" t="s">
        <v>73</v>
      </c>
      <c r="AD29" s="66">
        <f t="shared" si="19"/>
        <v>0.15</v>
      </c>
      <c r="AE29" s="65" t="s">
        <v>74</v>
      </c>
      <c r="AF29" s="66">
        <f t="shared" si="20"/>
        <v>0.5</v>
      </c>
      <c r="AG29" s="65" t="s">
        <v>75</v>
      </c>
      <c r="AH29" s="66">
        <f t="shared" si="21"/>
        <v>0.1</v>
      </c>
      <c r="AI29" s="65" t="s">
        <v>76</v>
      </c>
      <c r="AJ29" s="67">
        <f t="shared" si="22"/>
        <v>0.05</v>
      </c>
      <c r="AK29" s="67">
        <f>+IF(AK28="","",AK28-(SUM(AB29,AD29,AF29,AH29,AJ29)*AK28))</f>
        <v>3.5999999999999921E-3</v>
      </c>
      <c r="AL29" s="98"/>
      <c r="AM29" s="101"/>
      <c r="AN29" s="68">
        <f>+IF(AND(AA28="Correctivo",AA29="Correctivo",AA30="Correctivo"),AN28-(0.3*AN28),IF(AND(AA28="Correctivo",OR(AA29="Correctivo",AA30="Correctivo")),AN28-(0.2*AN28),IF(AND(AA29="Correctivo",OR(AA28="Correctivo",AA30="Correctivo")),AN28-(0.2*AN28),IF(AND(AA30="Correctivo",OR(AA29="Correctivo",AA28="Correctivo")),AN28-(0.2*AN28),IF(OR(AA28="Correctivo",AA29="Correctivo",AA30="Correctivo"),AN28-(0.1*AN28),AN28)))))</f>
        <v>0.64800000000000002</v>
      </c>
      <c r="AO29" s="98"/>
      <c r="AP29" s="104"/>
      <c r="AQ29" s="101"/>
      <c r="AR29" s="87"/>
      <c r="AS29" s="107"/>
      <c r="AT29" s="56">
        <v>3</v>
      </c>
      <c r="AU29" s="54"/>
      <c r="AV29" s="54" t="s">
        <v>105</v>
      </c>
      <c r="AW29" s="54" t="s">
        <v>200</v>
      </c>
      <c r="AX29" s="54" t="s">
        <v>201</v>
      </c>
      <c r="AY29" s="54" t="s">
        <v>107</v>
      </c>
      <c r="AZ29" s="54" t="s">
        <v>202</v>
      </c>
      <c r="BA29" s="54"/>
      <c r="BB29" s="73"/>
      <c r="BC29" s="54" t="s">
        <v>235</v>
      </c>
      <c r="BD29" s="87"/>
      <c r="BE29" s="89"/>
      <c r="BF29" s="92"/>
    </row>
    <row r="30" spans="1:58" ht="103.5" customHeight="1" thickBot="1" x14ac:dyDescent="0.25">
      <c r="A30" s="111" t="s">
        <v>205</v>
      </c>
      <c r="B30" s="100" t="s">
        <v>242</v>
      </c>
      <c r="C30" s="86" t="s">
        <v>66</v>
      </c>
      <c r="D30" s="86" t="s">
        <v>80</v>
      </c>
      <c r="E30" s="100" t="s">
        <v>240</v>
      </c>
      <c r="F30" s="100" t="s">
        <v>207</v>
      </c>
      <c r="G30" s="99" t="str">
        <f>+IF(OR(D30&lt;&gt;"",E30&lt;&gt;"",F30&lt;&gt;""),CONCATENATE("Posibilidad de ",D30," por ",E30," debido a ",F30),"")</f>
        <v>Posibilidad de afectación económica por  la no aplicación de procedimientos técnicos contables y
administrativos  debido a deficiencias en la identificación e
individualización de activos fijos de la
entidad</v>
      </c>
      <c r="H30" s="100" t="s">
        <v>212</v>
      </c>
      <c r="I30" s="85" t="s">
        <v>68</v>
      </c>
      <c r="J30" s="85" t="s">
        <v>215</v>
      </c>
      <c r="K30" s="85" t="s">
        <v>216</v>
      </c>
      <c r="L30" s="85" t="s">
        <v>90</v>
      </c>
      <c r="M30" s="96">
        <f>+IF(K30="Máximo 2 veces",0.2,IF(K30="Entre 3 a 24 veces",0.4,IF(K30="Entre 24 a 500 veces",0.6,IF(K30="Entre 500 a 5000 veces",0.8,IF(K30="Mas de 5000 veces",1,"")))))</f>
        <v>0.8</v>
      </c>
      <c r="N30" s="99" t="str">
        <f>+IF(M30="","",IF(M30&gt;0.8,"Muy Alta",IF(AND(M30&lt;=0.8,M30&gt;0.6),"Alta",IF(AND(M30&lt;=0.6,M30&gt;0.4),"Media",IF(AND(M30&lt;=0.4,M30&gt;0.2),"Baja","Muy Baja")))))</f>
        <v>Alta</v>
      </c>
      <c r="O30" s="165">
        <f>+IF(L30="Menor a 10 SMLMV o afectación a un área/proceso",0.2,IF(L30="Entre 10 y 50 SMLMV o afectación interna",0.4,IF(L30="Entre 50 y 100 SMLMV o afectación con algunos usuarios",0.6,IF(L30="Entre 100 y 500 SMLMV o fectación a nivel municipal/departamental",0.8,IF(L30="Mayor a 500 SMLMV o afectación nacional",1,"")))))</f>
        <v>0.6</v>
      </c>
      <c r="P30" s="102" t="str">
        <f>+IF(L30="Menor a 10 SMLMV o afectación a un área/proceso","Leve",IF(L30="Entre 10 y 50 SMLMV o afectación interna","Menor",IF(L30="Entre 50 y 100 SMLMV o afectación con algunos usuarios","Moderado",IF(L30="Entre 100 y 500 SMLMV o fectación a nivel municipal/departamental","Mayor",IF(L30="Mayor a 500 SMLMV o afectación nacional","Catastrófico","")))))</f>
        <v>Moderado</v>
      </c>
      <c r="Q30" s="99" t="str">
        <f>+IF(OR(K30="",L30=""),"",IF(AND(P30="Catastrófico",N30&lt;&gt;""),"Extremo",IF(AND(P30="Mayor",N30&lt;&gt;""),"Alto",IF(AND(N30="Muy Alta",O30&gt;0.1,O30&lt;0.7),"Alto",IF(AND(N30="Alta",P30="Moderado"),"Alto",IF(O30*M30&lt;0.1,"Bajo",IF(AND(N30="Alta",O30&lt;0.5),"Moderado",IF(AND(N30="Media",O30&lt;0.7),"Moderado",IF(AND(N30="Baja",OR(P30="Moderado",P30="Menor")),"Moderado",IF(AND(N30="Muy Baja",P30="Moderado"),"Moderado",))))))))))</f>
        <v>Alto</v>
      </c>
      <c r="R30" s="85" t="s">
        <v>83</v>
      </c>
      <c r="S30" s="85" t="s">
        <v>71</v>
      </c>
      <c r="T30" s="108"/>
      <c r="U30" s="63">
        <v>1</v>
      </c>
      <c r="V30" s="61" t="s">
        <v>211</v>
      </c>
      <c r="W30" s="59" t="s">
        <v>217</v>
      </c>
      <c r="X30" s="59" t="s">
        <v>218</v>
      </c>
      <c r="Y30" s="64" t="str">
        <f t="shared" si="0"/>
        <v xml:space="preserve">La almacenista general y el grupo contable  realizan cruces
mensuales con contabilidad y se
levanta un acta de
conciliación con el fin de identificar e individualizar los activos fijos de la entidad </v>
      </c>
      <c r="Z30" s="59" t="s">
        <v>241</v>
      </c>
      <c r="AA30" s="65" t="s">
        <v>91</v>
      </c>
      <c r="AB30" s="69"/>
      <c r="AC30" s="65" t="s">
        <v>73</v>
      </c>
      <c r="AD30" s="69"/>
      <c r="AE30" s="65" t="s">
        <v>74</v>
      </c>
      <c r="AF30" s="69"/>
      <c r="AG30" s="65" t="s">
        <v>75</v>
      </c>
      <c r="AH30" s="69"/>
      <c r="AI30" s="65" t="s">
        <v>76</v>
      </c>
      <c r="AJ30" s="69"/>
      <c r="AK30" s="69"/>
      <c r="AL30" s="96">
        <f>+IF(M30="","",MIN(AK30:AK32))</f>
        <v>0</v>
      </c>
      <c r="AM30" s="99" t="str">
        <f>+IF(AL30="","",IF(AL30&gt;0.8,"Muy Alta",IF(AND(AL30&lt;=0.8,AL30&gt;0.6),"Alta",IF(AND(AL30&lt;=0.6,AL30&gt;0.4),"Media",IF(AND(AL30&lt;=0.4,AL30&gt;0.2),"Baja","Muy Baja")))))</f>
        <v>Muy Baja</v>
      </c>
      <c r="AN30" s="30">
        <f>+IF(OR(S30="",S30="No"),O30,O30-(O30*T30))</f>
        <v>0.6</v>
      </c>
      <c r="AO30" s="96">
        <f>+IF(L30="","",MIN(AN31:AN32))</f>
        <v>0.38400000000000001</v>
      </c>
      <c r="AP30" s="102" t="str">
        <f>+IF(AO30="","",IF(AO30&gt;0.8,"Catastrófico",IF(AND(AO30&lt;=0.8,AO30&gt;0.6),"Mayor",IF(AND(AO30&lt;=0.6,AO30&gt;0.4),"Moderado",IF(AND(AO30&lt;=0.4,AO30&gt;0.2),"Menor","Leve")))))</f>
        <v>Menor</v>
      </c>
      <c r="AQ30" s="99" t="str">
        <f t="shared" ref="AQ30" si="23">+IF(OR(AL30="",AO30=""),"",IF(AND(AP30="Catastrófico",AM30&lt;&gt;""),"Extremo",IF(AND(AP30="Mayor",AM30&lt;&gt;""),"Alto",IF(AND(AM30="Muy Alta",AO30&gt;0.1,AO30&lt;0.7),"Alto",IF(AND(AM30="Alta",AP30="Moderado"),"Alto",IF(AO30*AL30&lt;0.1,"Bajo",IF(AND(AM30="Alta",AO30&lt;0.5),"Moderado",IF(AND(AM30="Media",AO30&lt;0.7),"Moderado",IF(AND(AM30="Baja",OR(AP30="Moderado",AP30="Menor")),"Moderado",IF(AND(AM30="Muy Baja",AP30="Moderado"),"Moderado",))))))))))</f>
        <v>Bajo</v>
      </c>
      <c r="AR30" s="172" t="s">
        <v>221</v>
      </c>
      <c r="AS30" s="105"/>
      <c r="AT30" s="56">
        <v>1</v>
      </c>
      <c r="AU30" s="59"/>
      <c r="AV30" s="54" t="s">
        <v>105</v>
      </c>
      <c r="AW30" s="54" t="s">
        <v>222</v>
      </c>
      <c r="AX30" s="59" t="s">
        <v>223</v>
      </c>
      <c r="AY30" s="54" t="s">
        <v>107</v>
      </c>
      <c r="AZ30" s="59" t="s">
        <v>225</v>
      </c>
      <c r="BA30" s="77"/>
      <c r="BB30" s="75"/>
      <c r="BC30" s="54" t="s">
        <v>235</v>
      </c>
      <c r="BD30" s="52" t="s">
        <v>236</v>
      </c>
      <c r="BE30" s="88">
        <v>45646</v>
      </c>
      <c r="BF30" s="82"/>
    </row>
    <row r="31" spans="1:58" ht="76.5" customHeight="1" thickBot="1" x14ac:dyDescent="0.25">
      <c r="A31" s="112"/>
      <c r="B31" s="100"/>
      <c r="C31" s="86"/>
      <c r="D31" s="86"/>
      <c r="E31" s="163"/>
      <c r="F31" s="163"/>
      <c r="G31" s="100"/>
      <c r="H31" s="100"/>
      <c r="I31" s="86"/>
      <c r="J31" s="86"/>
      <c r="K31" s="86"/>
      <c r="L31" s="86"/>
      <c r="M31" s="97"/>
      <c r="N31" s="100"/>
      <c r="O31" s="166"/>
      <c r="P31" s="103"/>
      <c r="Q31" s="100"/>
      <c r="R31" s="86"/>
      <c r="S31" s="86"/>
      <c r="T31" s="108"/>
      <c r="U31" s="63">
        <v>2</v>
      </c>
      <c r="V31" s="69"/>
      <c r="W31" s="69"/>
      <c r="X31" s="69"/>
      <c r="Y31" s="64" t="str">
        <f t="shared" si="0"/>
        <v/>
      </c>
      <c r="Z31" s="71"/>
      <c r="AA31" s="65" t="s">
        <v>84</v>
      </c>
      <c r="AB31" s="69"/>
      <c r="AC31" s="65" t="s">
        <v>73</v>
      </c>
      <c r="AD31" s="69"/>
      <c r="AE31" s="65" t="s">
        <v>74</v>
      </c>
      <c r="AF31" s="69"/>
      <c r="AG31" s="65" t="s">
        <v>75</v>
      </c>
      <c r="AH31" s="69"/>
      <c r="AI31" s="65" t="s">
        <v>76</v>
      </c>
      <c r="AJ31" s="69"/>
      <c r="AK31" s="69"/>
      <c r="AL31" s="97"/>
      <c r="AM31" s="100"/>
      <c r="AN31" s="37">
        <f>+IF(AND(AA30="Correctivo",AA31="Correctivo",AA32="Correctivo"),AN30-(0.3*AN30),IF(AND(AA30="Correctivo",OR(AA31="Correctivo",AA32="Correctivo")),AN30-(0.2*AN30),IF(AND(AA31="Correctivo",OR(AA30="Correctivo",AA32="Correctivo")),AN30-(0.2*AN30),IF(AND(AA32="Correctivo",OR(AA31="Correctivo",AA30="Correctivo")),AN30-(0.2*AN30),IF(OR(AA30="Correctivo",AA31="Correctivo",AA32="Correctivo"),AN30-(0.1*AN30),AN30)))))</f>
        <v>0.48</v>
      </c>
      <c r="AO31" s="97"/>
      <c r="AP31" s="103"/>
      <c r="AQ31" s="100"/>
      <c r="AR31" s="172"/>
      <c r="AS31" s="106"/>
      <c r="AT31" s="56">
        <v>2</v>
      </c>
      <c r="AU31" s="59"/>
      <c r="AV31" s="54" t="s">
        <v>105</v>
      </c>
      <c r="AW31" s="54" t="s">
        <v>222</v>
      </c>
      <c r="AX31" s="59" t="s">
        <v>224</v>
      </c>
      <c r="AY31" s="54" t="s">
        <v>107</v>
      </c>
      <c r="AZ31" s="59" t="s">
        <v>231</v>
      </c>
      <c r="BA31" s="76"/>
      <c r="BB31" s="75"/>
      <c r="BC31" s="54" t="s">
        <v>257</v>
      </c>
      <c r="BD31" s="52" t="s">
        <v>236</v>
      </c>
      <c r="BE31" s="86"/>
      <c r="BF31" s="83"/>
    </row>
    <row r="32" spans="1:58" ht="113.25" customHeight="1" thickBot="1" x14ac:dyDescent="0.25">
      <c r="A32" s="113"/>
      <c r="B32" s="100"/>
      <c r="C32" s="86"/>
      <c r="D32" s="86"/>
      <c r="E32" s="164"/>
      <c r="F32" s="164"/>
      <c r="G32" s="101"/>
      <c r="H32" s="100"/>
      <c r="I32" s="87"/>
      <c r="J32" s="87"/>
      <c r="K32" s="87"/>
      <c r="L32" s="87"/>
      <c r="M32" s="98"/>
      <c r="N32" s="101"/>
      <c r="O32" s="167"/>
      <c r="P32" s="104"/>
      <c r="Q32" s="101"/>
      <c r="R32" s="87"/>
      <c r="S32" s="89"/>
      <c r="T32" s="108"/>
      <c r="U32" s="63">
        <v>3</v>
      </c>
      <c r="V32" s="69"/>
      <c r="W32" s="69"/>
      <c r="X32" s="69"/>
      <c r="Y32" s="64" t="str">
        <f t="shared" si="0"/>
        <v/>
      </c>
      <c r="Z32" s="71"/>
      <c r="AA32" s="65" t="s">
        <v>84</v>
      </c>
      <c r="AB32" s="69"/>
      <c r="AC32" s="65" t="s">
        <v>73</v>
      </c>
      <c r="AD32" s="69"/>
      <c r="AE32" s="65" t="s">
        <v>74</v>
      </c>
      <c r="AF32" s="69"/>
      <c r="AG32" s="65" t="s">
        <v>75</v>
      </c>
      <c r="AH32" s="69"/>
      <c r="AI32" s="65" t="s">
        <v>76</v>
      </c>
      <c r="AJ32" s="69"/>
      <c r="AK32" s="69"/>
      <c r="AL32" s="98"/>
      <c r="AM32" s="101"/>
      <c r="AN32" s="68">
        <f>+IF(AND(AA31="Correctivo",AA32="Correctivo",AA33="Correctivo"),AN31-(0.3*AN31),IF(AND(AA31="Correctivo",OR(AA32="Correctivo",AA33="Correctivo")),AN31-(0.2*AN31),IF(AND(AA32="Correctivo",OR(AA31="Correctivo",AA33="Correctivo")),AN31-(0.2*AN31),IF(AND(AA33="Correctivo",OR(AA32="Correctivo",AA31="Correctivo")),AN31-(0.2*AN31),IF(OR(AA31="Correctivo",AA32="Correctivo",AA33="Correctivo"),AN31-(0.1*AN31),AN31)))))</f>
        <v>0.38400000000000001</v>
      </c>
      <c r="AO32" s="98"/>
      <c r="AP32" s="104"/>
      <c r="AQ32" s="101"/>
      <c r="AR32" s="172"/>
      <c r="AS32" s="107"/>
      <c r="AT32" s="56">
        <v>3</v>
      </c>
      <c r="AU32" s="59"/>
      <c r="AV32" s="54" t="s">
        <v>105</v>
      </c>
      <c r="AW32" s="54" t="s">
        <v>222</v>
      </c>
      <c r="AX32" s="70" t="s">
        <v>255</v>
      </c>
      <c r="AY32" s="54" t="s">
        <v>226</v>
      </c>
      <c r="AZ32" s="59" t="s">
        <v>227</v>
      </c>
      <c r="BA32" s="76"/>
      <c r="BB32" s="75"/>
      <c r="BC32" s="54" t="s">
        <v>235</v>
      </c>
      <c r="BD32" s="52" t="s">
        <v>236</v>
      </c>
      <c r="BE32" s="89"/>
      <c r="BF32" s="84"/>
    </row>
    <row r="33" spans="1:58" ht="117.75" customHeight="1" thickBot="1" x14ac:dyDescent="0.25">
      <c r="A33" s="111" t="s">
        <v>206</v>
      </c>
      <c r="B33" s="100" t="s">
        <v>210</v>
      </c>
      <c r="C33" s="86" t="s">
        <v>66</v>
      </c>
      <c r="D33" s="86" t="s">
        <v>80</v>
      </c>
      <c r="E33" s="100" t="s">
        <v>208</v>
      </c>
      <c r="F33" s="100" t="s">
        <v>209</v>
      </c>
      <c r="G33" s="100" t="str">
        <f>+IF(OR(D33&lt;&gt;"",E33&lt;&gt;"",F33&lt;&gt;""),CONCATENATE("Posibilidad de ",D33," por ",E33," debido a ",F33),"")</f>
        <v xml:space="preserve">Posibilidad de afectación económica por  diferencias
entre saldos reportados por almacén
frente a los valores reflejados en
estados financieros, tanto para inventario de bienes como activos fijos debido a fallas o deficiencias en cruces contables y/o conciliaciones  </v>
      </c>
      <c r="H33" s="100" t="s">
        <v>213</v>
      </c>
      <c r="I33" s="86" t="s">
        <v>214</v>
      </c>
      <c r="J33" s="86" t="s">
        <v>215</v>
      </c>
      <c r="K33" s="86" t="s">
        <v>147</v>
      </c>
      <c r="L33" s="86" t="s">
        <v>90</v>
      </c>
      <c r="M33" s="165">
        <f>+IF(K33="Máximo 2 veces",0.2,IF(K33="Entre 3 a 24 veces",0.4,IF(K33="Entre 24 a 500 veces",0.6,IF(K33="Entre 500 a 5000 veces",0.8,IF(K33="Mas de 5000 veces",1,"")))))</f>
        <v>1</v>
      </c>
      <c r="N33" s="99" t="str">
        <f>+IF(M33="","",IF(M33&gt;0.8,"Muy Alta",IF(AND(M33&lt;=0.8,M33&gt;0.6),"Alta",IF(AND(M33&lt;=0.6,M33&gt;0.4),"Media",IF(AND(M33&lt;=0.4,M33&gt;0.2),"Baja","Muy Baja")))))</f>
        <v>Muy Alta</v>
      </c>
      <c r="O33" s="96">
        <f>+IF(L33="Menor a 10 SMLMV o afectación a un área/proceso",0.2,IF(L33="Entre 10 y 50 SMLMV o afectación interna",0.4,IF(L33="Entre 50 y 100 SMLMV o afectación con algunos usuarios",0.6,IF(L33="Entre 100 y 500 SMLMV o fectación a nivel municipal/departamental",0.8,IF(L33="Mayor a 500 SMLMV o afectación nacional",1,"")))))</f>
        <v>0.6</v>
      </c>
      <c r="P33" s="102" t="str">
        <f>+IF(L33="Menor a 10 SMLMV o afectación a un área/proceso","Leve",IF(L33="Entre 10 y 50 SMLMV o afectación interna","Menor",IF(L33="Entre 50 y 100 SMLMV o afectación con algunos usuarios","Moderado",IF(L33="Entre 100 y 500 SMLMV o fectación a nivel municipal/departamental","Mayor",IF(L33="Mayor a 500 SMLMV o afectación nacional","Catastrófico","")))))</f>
        <v>Moderado</v>
      </c>
      <c r="Q33" s="99" t="str">
        <f>+IF(OR(K33="",L33=""),"",IF(AND(P33="Catastrófico",N33&lt;&gt;""),"Extremo",IF(AND(P33="Mayor",N33&lt;&gt;""),"Alto",IF(AND(N33="Muy Alta",O33&gt;0.1,O33&lt;0.7),"Alto",IF(AND(N33="Alta",P33="Moderado"),"Alto",IF(O33*M33&lt;0.1,"Bajo",IF(AND(N33="Alta",O33&lt;0.5),"Moderado",IF(AND(N33="Media",O33&lt;0.7),"Moderado",IF(AND(N33="Baja",OR(P33="Moderado",P33="Menor")),"Moderado",IF(AND(N33="Muy Baja",P33="Moderado"),"Moderado",))))))))))</f>
        <v>Alto</v>
      </c>
      <c r="R33" s="85" t="s">
        <v>83</v>
      </c>
      <c r="S33" s="85" t="s">
        <v>71</v>
      </c>
      <c r="T33" s="108"/>
      <c r="U33" s="63">
        <v>1</v>
      </c>
      <c r="V33" s="61" t="s">
        <v>211</v>
      </c>
      <c r="W33" s="59" t="s">
        <v>239</v>
      </c>
      <c r="X33" s="59" t="s">
        <v>220</v>
      </c>
      <c r="Y33" s="64" t="str">
        <f t="shared" si="0"/>
        <v xml:space="preserve">La almacenista general y el grupo contable  realizan  cruces
mensuales con contabiiidad
Levantamos un acta de
conciliación a fin de conciliar saldos en estado financieros con inventario y activos fijos  </v>
      </c>
      <c r="Z33" s="59" t="s">
        <v>219</v>
      </c>
      <c r="AA33" s="65" t="s">
        <v>91</v>
      </c>
      <c r="AB33" s="69"/>
      <c r="AC33" s="65" t="s">
        <v>73</v>
      </c>
      <c r="AD33" s="69"/>
      <c r="AE33" s="65" t="s">
        <v>74</v>
      </c>
      <c r="AF33" s="69"/>
      <c r="AG33" s="65" t="s">
        <v>75</v>
      </c>
      <c r="AH33" s="69"/>
      <c r="AI33" s="65" t="s">
        <v>76</v>
      </c>
      <c r="AJ33" s="69"/>
      <c r="AK33" s="69"/>
      <c r="AL33" s="96">
        <f>+IF(M33="","",MIN(AK33:AK35))</f>
        <v>0</v>
      </c>
      <c r="AM33" s="99" t="str">
        <f>+IF(AL33="","",IF(AL33&gt;0.8,"Muy Alta",IF(AND(AL33&lt;=0.8,AL33&gt;0.6),"Alta",IF(AND(AL33&lt;=0.6,AL33&gt;0.4),"Media",IF(AND(AL33&lt;=0.4,AL33&gt;0.2),"Baja","Muy Baja")))))</f>
        <v>Muy Baja</v>
      </c>
      <c r="AN33" s="68">
        <f t="shared" ref="AN33:AN35" si="24">+IF(AND(AA32="Correctivo",AA33="Correctivo",AA34="Correctivo"),AN32-(0.3*AN32),IF(AND(AA32="Correctivo",OR(AA33="Correctivo",AA34="Correctivo")),AN32-(0.2*AN32),IF(AND(AA33="Correctivo",OR(AA32="Correctivo",AA34="Correctivo")),AN32-(0.2*AN32),IF(AND(AA34="Correctivo",OR(AA33="Correctivo",AA32="Correctivo")),AN32-(0.2*AN32),IF(OR(AA32="Correctivo",AA33="Correctivo",AA34="Correctivo"),AN32-(0.1*AN32),AN32)))))</f>
        <v>0.30720000000000003</v>
      </c>
      <c r="AO33" s="96">
        <f>+IF(L33="","",MIN(AN34:AN35))</f>
        <v>0.19660800000000003</v>
      </c>
      <c r="AP33" s="102" t="str">
        <f>+IF(AO33="","",IF(AO33&gt;0.8,"Catastrófico",IF(AND(AO33&lt;=0.8,AO33&gt;0.6),"Mayor",IF(AND(AO33&lt;=0.6,AO33&gt;0.4),"Moderado",IF(AND(AO33&lt;=0.4,AO33&gt;0.2),"Menor","Leve")))))</f>
        <v>Leve</v>
      </c>
      <c r="AQ33" s="99" t="str">
        <f t="shared" ref="AQ33" si="25">+IF(OR(AL33="",AO33=""),"",IF(AND(AP33="Catastrófico",AM33&lt;&gt;""),"Extremo",IF(AND(AP33="Mayor",AM33&lt;&gt;""),"Alto",IF(AND(AM33="Muy Alta",AO33&gt;0.1,AO33&lt;0.7),"Alto",IF(AND(AM33="Alta",AP33="Moderado"),"Alto",IF(AO33*AL33&lt;0.1,"Bajo",IF(AND(AM33="Alta",AO33&lt;0.5),"Moderado",IF(AND(AM33="Media",AO33&lt;0.7),"Moderado",IF(AND(AM33="Baja",OR(AP33="Moderado",AP33="Menor")),"Moderado",IF(AND(AM33="Muy Baja",AP33="Moderado"),"Moderado",))))))))))</f>
        <v>Bajo</v>
      </c>
      <c r="AR33" s="100" t="s">
        <v>228</v>
      </c>
      <c r="AS33" s="171">
        <v>0.5</v>
      </c>
      <c r="AT33" s="56">
        <v>1</v>
      </c>
      <c r="AU33" s="59"/>
      <c r="AV33" s="54" t="s">
        <v>105</v>
      </c>
      <c r="AW33" s="59" t="s">
        <v>248</v>
      </c>
      <c r="AX33" s="59" t="s">
        <v>246</v>
      </c>
      <c r="AY33" s="54" t="s">
        <v>230</v>
      </c>
      <c r="AZ33" s="59" t="s">
        <v>247</v>
      </c>
      <c r="BA33" s="76"/>
      <c r="BB33" s="75"/>
      <c r="BC33" s="54" t="s">
        <v>257</v>
      </c>
      <c r="BD33" s="52" t="s">
        <v>236</v>
      </c>
      <c r="BE33" s="88">
        <v>45646</v>
      </c>
      <c r="BF33" s="82"/>
    </row>
    <row r="34" spans="1:58" ht="105" customHeight="1" thickBot="1" x14ac:dyDescent="0.25">
      <c r="A34" s="112"/>
      <c r="B34" s="163"/>
      <c r="C34" s="86"/>
      <c r="D34" s="86"/>
      <c r="E34" s="163"/>
      <c r="F34" s="163"/>
      <c r="G34" s="100"/>
      <c r="H34" s="100"/>
      <c r="I34" s="86"/>
      <c r="J34" s="86"/>
      <c r="K34" s="86"/>
      <c r="L34" s="86"/>
      <c r="M34" s="166"/>
      <c r="N34" s="100"/>
      <c r="O34" s="97"/>
      <c r="P34" s="103"/>
      <c r="Q34" s="100"/>
      <c r="R34" s="86"/>
      <c r="S34" s="86"/>
      <c r="T34" s="108"/>
      <c r="U34" s="63">
        <v>2</v>
      </c>
      <c r="V34" s="61" t="s">
        <v>211</v>
      </c>
      <c r="W34" s="59" t="s">
        <v>243</v>
      </c>
      <c r="X34" s="59" t="s">
        <v>244</v>
      </c>
      <c r="Y34" s="64" t="str">
        <f t="shared" si="0"/>
        <v>La almacenista general y el grupo contable  relizaran mesa de trabajo con las dependencias que presentan las necesidades de despacho de elementos con el fin de definir las rutas de manejo para los sobrantes y/o saldos de inventario.</v>
      </c>
      <c r="Z34" s="59" t="s">
        <v>245</v>
      </c>
      <c r="AA34" s="65" t="s">
        <v>84</v>
      </c>
      <c r="AB34" s="69"/>
      <c r="AC34" s="65" t="s">
        <v>73</v>
      </c>
      <c r="AD34" s="69"/>
      <c r="AE34" s="65" t="s">
        <v>74</v>
      </c>
      <c r="AF34" s="69"/>
      <c r="AG34" s="65" t="s">
        <v>75</v>
      </c>
      <c r="AH34" s="69"/>
      <c r="AI34" s="65" t="s">
        <v>76</v>
      </c>
      <c r="AJ34" s="69"/>
      <c r="AK34" s="69"/>
      <c r="AL34" s="97"/>
      <c r="AM34" s="100"/>
      <c r="AN34" s="68">
        <f t="shared" si="24"/>
        <v>0.24576000000000003</v>
      </c>
      <c r="AO34" s="97"/>
      <c r="AP34" s="103"/>
      <c r="AQ34" s="100"/>
      <c r="AR34" s="100"/>
      <c r="AS34" s="171"/>
      <c r="AT34" s="56">
        <v>2</v>
      </c>
      <c r="AU34" s="59"/>
      <c r="AV34" s="54" t="s">
        <v>105</v>
      </c>
      <c r="AW34" s="59" t="s">
        <v>248</v>
      </c>
      <c r="AX34" s="71" t="s">
        <v>229</v>
      </c>
      <c r="AY34" s="54" t="s">
        <v>230</v>
      </c>
      <c r="AZ34" s="59" t="s">
        <v>227</v>
      </c>
      <c r="BA34" s="76"/>
      <c r="BB34" s="75"/>
      <c r="BC34" s="54" t="s">
        <v>235</v>
      </c>
      <c r="BD34" s="52" t="s">
        <v>236</v>
      </c>
      <c r="BE34" s="86"/>
      <c r="BF34" s="83"/>
    </row>
    <row r="35" spans="1:58" ht="123" customHeight="1" thickBot="1" x14ac:dyDescent="0.25">
      <c r="A35" s="113"/>
      <c r="B35" s="163"/>
      <c r="C35" s="86"/>
      <c r="D35" s="86"/>
      <c r="E35" s="163"/>
      <c r="F35" s="163"/>
      <c r="G35" s="100"/>
      <c r="H35" s="100"/>
      <c r="I35" s="86"/>
      <c r="J35" s="86"/>
      <c r="K35" s="86"/>
      <c r="L35" s="86"/>
      <c r="M35" s="166"/>
      <c r="N35" s="101"/>
      <c r="O35" s="98"/>
      <c r="P35" s="104"/>
      <c r="Q35" s="101"/>
      <c r="R35" s="87"/>
      <c r="S35" s="89"/>
      <c r="T35" s="108"/>
      <c r="U35" s="63">
        <v>3</v>
      </c>
      <c r="V35" s="69"/>
      <c r="W35" s="69"/>
      <c r="X35" s="69"/>
      <c r="Y35" s="59" t="str">
        <f t="shared" si="0"/>
        <v/>
      </c>
      <c r="Z35" s="69"/>
      <c r="AA35" s="65" t="s">
        <v>84</v>
      </c>
      <c r="AB35" s="69"/>
      <c r="AC35" s="65" t="s">
        <v>73</v>
      </c>
      <c r="AD35" s="69"/>
      <c r="AE35" s="65" t="s">
        <v>74</v>
      </c>
      <c r="AF35" s="69"/>
      <c r="AG35" s="65" t="s">
        <v>75</v>
      </c>
      <c r="AH35" s="69"/>
      <c r="AI35" s="65" t="s">
        <v>76</v>
      </c>
      <c r="AJ35" s="69"/>
      <c r="AK35" s="69"/>
      <c r="AL35" s="98"/>
      <c r="AM35" s="101"/>
      <c r="AN35" s="68">
        <f t="shared" si="24"/>
        <v>0.19660800000000003</v>
      </c>
      <c r="AO35" s="98"/>
      <c r="AP35" s="104"/>
      <c r="AQ35" s="101"/>
      <c r="AR35" s="100"/>
      <c r="AS35" s="171"/>
      <c r="AT35" s="38">
        <v>3</v>
      </c>
      <c r="AU35" s="59"/>
      <c r="AV35" s="23" t="s">
        <v>105</v>
      </c>
      <c r="AW35" s="59" t="s">
        <v>248</v>
      </c>
      <c r="AX35" s="71" t="s">
        <v>229</v>
      </c>
      <c r="AY35" s="23" t="s">
        <v>249</v>
      </c>
      <c r="AZ35" s="59" t="s">
        <v>250</v>
      </c>
      <c r="BA35" s="76"/>
      <c r="BB35" s="75"/>
      <c r="BC35" s="23" t="s">
        <v>235</v>
      </c>
      <c r="BD35" s="52" t="s">
        <v>236</v>
      </c>
      <c r="BE35" s="89"/>
      <c r="BF35" s="84"/>
    </row>
    <row r="36" spans="1:58" x14ac:dyDescent="0.2">
      <c r="BE36" s="169"/>
    </row>
    <row r="37" spans="1:58" x14ac:dyDescent="0.2">
      <c r="BE37" s="170"/>
    </row>
    <row r="38" spans="1:58" x14ac:dyDescent="0.2">
      <c r="BE38" s="170"/>
    </row>
  </sheetData>
  <sheetProtection formatCells="0" formatColumns="0" formatRows="0" insertColumns="0" insertRows="0" insertHyperlinks="0" deleteColumns="0" deleteRows="0" sort="0" autoFilter="0" pivotTables="0"/>
  <dataConsolidate/>
  <mergeCells count="236">
    <mergeCell ref="BF16:BF17"/>
    <mergeCell ref="BE36:BE38"/>
    <mergeCell ref="AQ33:AQ35"/>
    <mergeCell ref="AR33:AR35"/>
    <mergeCell ref="AS33:AS35"/>
    <mergeCell ref="B30:B32"/>
    <mergeCell ref="AL33:AL35"/>
    <mergeCell ref="AM33:AM35"/>
    <mergeCell ref="AO33:AO35"/>
    <mergeCell ref="AP33:AP35"/>
    <mergeCell ref="AQ30:AQ32"/>
    <mergeCell ref="AR30:AR32"/>
    <mergeCell ref="AS30:AS32"/>
    <mergeCell ref="J33:J35"/>
    <mergeCell ref="K33:K35"/>
    <mergeCell ref="L33:L35"/>
    <mergeCell ref="M33:M35"/>
    <mergeCell ref="N33:N35"/>
    <mergeCell ref="O33:O35"/>
    <mergeCell ref="P33:P35"/>
    <mergeCell ref="Q33:Q35"/>
    <mergeCell ref="R33:R35"/>
    <mergeCell ref="S33:S35"/>
    <mergeCell ref="BF21:BF23"/>
    <mergeCell ref="J30:J32"/>
    <mergeCell ref="K30:K32"/>
    <mergeCell ref="L30:L32"/>
    <mergeCell ref="M30:M32"/>
    <mergeCell ref="N30:N32"/>
    <mergeCell ref="O30:O32"/>
    <mergeCell ref="P30:P32"/>
    <mergeCell ref="Q30:Q32"/>
    <mergeCell ref="R30:R32"/>
    <mergeCell ref="E24:E26"/>
    <mergeCell ref="F24:F26"/>
    <mergeCell ref="G24:G26"/>
    <mergeCell ref="H24:H26"/>
    <mergeCell ref="I24:I26"/>
    <mergeCell ref="A33:A35"/>
    <mergeCell ref="B33:B35"/>
    <mergeCell ref="C33:C35"/>
    <mergeCell ref="D33:D35"/>
    <mergeCell ref="E33:E35"/>
    <mergeCell ref="F33:F35"/>
    <mergeCell ref="G33:G35"/>
    <mergeCell ref="H33:H35"/>
    <mergeCell ref="I33:I35"/>
    <mergeCell ref="A30:A32"/>
    <mergeCell ref="E30:E32"/>
    <mergeCell ref="C30:C32"/>
    <mergeCell ref="D30:D32"/>
    <mergeCell ref="F30:F32"/>
    <mergeCell ref="G30:G32"/>
    <mergeCell ref="H30:H32"/>
    <mergeCell ref="I30:I32"/>
    <mergeCell ref="AM24:AM26"/>
    <mergeCell ref="AO24:AO26"/>
    <mergeCell ref="A8:C8"/>
    <mergeCell ref="A10:C10"/>
    <mergeCell ref="AQ21:AQ23"/>
    <mergeCell ref="AR21:AR23"/>
    <mergeCell ref="Q18:Q20"/>
    <mergeCell ref="R18:R20"/>
    <mergeCell ref="AP24:AP26"/>
    <mergeCell ref="AQ24:AQ26"/>
    <mergeCell ref="AR24:AR26"/>
    <mergeCell ref="J24:J26"/>
    <mergeCell ref="K24:K26"/>
    <mergeCell ref="L24:L26"/>
    <mergeCell ref="M24:M26"/>
    <mergeCell ref="N24:N26"/>
    <mergeCell ref="O24:O26"/>
    <mergeCell ref="P24:P26"/>
    <mergeCell ref="Q24:Q26"/>
    <mergeCell ref="R24:R26"/>
    <mergeCell ref="A24:A26"/>
    <mergeCell ref="B24:B26"/>
    <mergeCell ref="C24:C26"/>
    <mergeCell ref="D24:D26"/>
    <mergeCell ref="AS21:AS23"/>
    <mergeCell ref="BD21:BD23"/>
    <mergeCell ref="BE21:BE23"/>
    <mergeCell ref="T21:T23"/>
    <mergeCell ref="AL21:AL23"/>
    <mergeCell ref="AM21:AM23"/>
    <mergeCell ref="AO21:AO23"/>
    <mergeCell ref="AP21:AP23"/>
    <mergeCell ref="O21:O23"/>
    <mergeCell ref="P21:P23"/>
    <mergeCell ref="Q21:Q23"/>
    <mergeCell ref="R21:R23"/>
    <mergeCell ref="S21:S23"/>
    <mergeCell ref="BE18:BE20"/>
    <mergeCell ref="S18:S20"/>
    <mergeCell ref="BF18:BF20"/>
    <mergeCell ref="A21:A23"/>
    <mergeCell ref="D21:D23"/>
    <mergeCell ref="E21:E23"/>
    <mergeCell ref="F21:F23"/>
    <mergeCell ref="G21:G23"/>
    <mergeCell ref="H21:H23"/>
    <mergeCell ref="I21:I23"/>
    <mergeCell ref="J21:J23"/>
    <mergeCell ref="K21:K23"/>
    <mergeCell ref="B21:B23"/>
    <mergeCell ref="C21:C23"/>
    <mergeCell ref="L21:L23"/>
    <mergeCell ref="M21:M23"/>
    <mergeCell ref="N21:N23"/>
    <mergeCell ref="T18:T20"/>
    <mergeCell ref="AL18:AL20"/>
    <mergeCell ref="AM18:AM20"/>
    <mergeCell ref="AO18:AO20"/>
    <mergeCell ref="AP18:AP20"/>
    <mergeCell ref="O18:O20"/>
    <mergeCell ref="P18:P20"/>
    <mergeCell ref="E3:BE4"/>
    <mergeCell ref="A18:A20"/>
    <mergeCell ref="B18:B20"/>
    <mergeCell ref="C18:C20"/>
    <mergeCell ref="D18:D20"/>
    <mergeCell ref="E18:E20"/>
    <mergeCell ref="F18:F20"/>
    <mergeCell ref="G18:G20"/>
    <mergeCell ref="H18:H20"/>
    <mergeCell ref="I18:I20"/>
    <mergeCell ref="J18:J20"/>
    <mergeCell ref="K18:K20"/>
    <mergeCell ref="L18:L20"/>
    <mergeCell ref="M18:M20"/>
    <mergeCell ref="N18:N20"/>
    <mergeCell ref="AM15:AM17"/>
    <mergeCell ref="AL15:AL17"/>
    <mergeCell ref="R15:R17"/>
    <mergeCell ref="Q15:Q17"/>
    <mergeCell ref="P15:P17"/>
    <mergeCell ref="O15:O17"/>
    <mergeCell ref="AP15:AP17"/>
    <mergeCell ref="A15:A17"/>
    <mergeCell ref="L15:L17"/>
    <mergeCell ref="BF13:BF14"/>
    <mergeCell ref="D6:BF6"/>
    <mergeCell ref="D8:BF8"/>
    <mergeCell ref="D10:BF10"/>
    <mergeCell ref="BD12:BF12"/>
    <mergeCell ref="U13:Z13"/>
    <mergeCell ref="AR15:AR17"/>
    <mergeCell ref="AS15:AS17"/>
    <mergeCell ref="AK13:AQ13"/>
    <mergeCell ref="M13:Q13"/>
    <mergeCell ref="R13:T13"/>
    <mergeCell ref="A13:G13"/>
    <mergeCell ref="I15:I17"/>
    <mergeCell ref="S15:S17"/>
    <mergeCell ref="T15:T17"/>
    <mergeCell ref="AR13:AS13"/>
    <mergeCell ref="H13:L13"/>
    <mergeCell ref="BD13:BD14"/>
    <mergeCell ref="N15:N17"/>
    <mergeCell ref="M15:M17"/>
    <mergeCell ref="K15:K17"/>
    <mergeCell ref="B15:B17"/>
    <mergeCell ref="AO15:AO17"/>
    <mergeCell ref="A6:C6"/>
    <mergeCell ref="A1:D4"/>
    <mergeCell ref="BE13:BE14"/>
    <mergeCell ref="AQ18:AQ20"/>
    <mergeCell ref="AR18:AR20"/>
    <mergeCell ref="AS18:AS20"/>
    <mergeCell ref="BD18:BD20"/>
    <mergeCell ref="A12:Q12"/>
    <mergeCell ref="AT13:BC13"/>
    <mergeCell ref="M14:N14"/>
    <mergeCell ref="AL14:AM14"/>
    <mergeCell ref="AO14:AP14"/>
    <mergeCell ref="O14:P14"/>
    <mergeCell ref="AE13:AJ13"/>
    <mergeCell ref="AA13:AD13"/>
    <mergeCell ref="R12:BC12"/>
    <mergeCell ref="C15:C17"/>
    <mergeCell ref="J15:J17"/>
    <mergeCell ref="G15:G17"/>
    <mergeCell ref="F15:F17"/>
    <mergeCell ref="E15:E17"/>
    <mergeCell ref="D15:D17"/>
    <mergeCell ref="H15:H17"/>
    <mergeCell ref="AQ15:AQ17"/>
    <mergeCell ref="E1:BE2"/>
    <mergeCell ref="AS24:AS26"/>
    <mergeCell ref="BD24:BD26"/>
    <mergeCell ref="BE24:BE26"/>
    <mergeCell ref="BF24:BF26"/>
    <mergeCell ref="A27:A29"/>
    <mergeCell ref="B27:B29"/>
    <mergeCell ref="C27:C29"/>
    <mergeCell ref="D27:D29"/>
    <mergeCell ref="E27:E29"/>
    <mergeCell ref="F27:F29"/>
    <mergeCell ref="G27:G29"/>
    <mergeCell ref="H27:H29"/>
    <mergeCell ref="I27:I29"/>
    <mergeCell ref="J27:J29"/>
    <mergeCell ref="K27:K29"/>
    <mergeCell ref="L27:L29"/>
    <mergeCell ref="M27:M29"/>
    <mergeCell ref="N27:N29"/>
    <mergeCell ref="O27:O29"/>
    <mergeCell ref="P27:P29"/>
    <mergeCell ref="Q27:Q29"/>
    <mergeCell ref="S24:S26"/>
    <mergeCell ref="T24:T26"/>
    <mergeCell ref="AL24:AL26"/>
    <mergeCell ref="BF30:BF32"/>
    <mergeCell ref="BF33:BF35"/>
    <mergeCell ref="R27:R29"/>
    <mergeCell ref="BD27:BD29"/>
    <mergeCell ref="BE27:BE29"/>
    <mergeCell ref="BF27:BF29"/>
    <mergeCell ref="S27:S29"/>
    <mergeCell ref="T27:T29"/>
    <mergeCell ref="AL27:AL29"/>
    <mergeCell ref="AM27:AM29"/>
    <mergeCell ref="AO27:AO29"/>
    <mergeCell ref="AP27:AP29"/>
    <mergeCell ref="AQ27:AQ29"/>
    <mergeCell ref="AR27:AR29"/>
    <mergeCell ref="AS27:AS29"/>
    <mergeCell ref="AO30:AO32"/>
    <mergeCell ref="AP30:AP32"/>
    <mergeCell ref="S30:S32"/>
    <mergeCell ref="T30:T32"/>
    <mergeCell ref="T33:T35"/>
    <mergeCell ref="AL30:AL32"/>
    <mergeCell ref="AM30:AM32"/>
    <mergeCell ref="BE33:BE35"/>
    <mergeCell ref="BE30:BE32"/>
  </mergeCells>
  <phoneticPr fontId="15" type="noConversion"/>
  <conditionalFormatting sqref="N15">
    <cfRule type="containsText" dxfId="105" priority="254" operator="containsText" text="Muy Baja">
      <formula>NOT(ISERROR(SEARCH("Muy Baja",N15)))</formula>
    </cfRule>
    <cfRule type="containsText" dxfId="104" priority="255" operator="containsText" text="Baja">
      <formula>NOT(ISERROR(SEARCH("Baja",N15)))</formula>
    </cfRule>
    <cfRule type="containsText" dxfId="103" priority="256" operator="containsText" text="Media">
      <formula>NOT(ISERROR(SEARCH("Media",N15)))</formula>
    </cfRule>
    <cfRule type="containsText" dxfId="102" priority="257" operator="containsText" text="Alta">
      <formula>NOT(ISERROR(SEARCH("Alta",N15)))</formula>
    </cfRule>
    <cfRule type="containsText" dxfId="101" priority="258" operator="containsText" text="Muy Alta">
      <formula>NOT(ISERROR(SEARCH("Muy Alta",N15)))</formula>
    </cfRule>
  </conditionalFormatting>
  <conditionalFormatting sqref="N18">
    <cfRule type="containsText" dxfId="100" priority="168" operator="containsText" text="Muy Baja">
      <formula>NOT(ISERROR(SEARCH("Muy Baja",N18)))</formula>
    </cfRule>
    <cfRule type="containsText" dxfId="99" priority="169" operator="containsText" text="Baja">
      <formula>NOT(ISERROR(SEARCH("Baja",N18)))</formula>
    </cfRule>
    <cfRule type="containsText" dxfId="98" priority="170" operator="containsText" text="Media">
      <formula>NOT(ISERROR(SEARCH("Media",N18)))</formula>
    </cfRule>
    <cfRule type="containsText" dxfId="97" priority="171" operator="containsText" text="Alta">
      <formula>NOT(ISERROR(SEARCH("Alta",N18)))</formula>
    </cfRule>
    <cfRule type="containsText" dxfId="96" priority="172" operator="containsText" text="Muy Alta">
      <formula>NOT(ISERROR(SEARCH("Muy Alta",N18)))</formula>
    </cfRule>
  </conditionalFormatting>
  <conditionalFormatting sqref="N21">
    <cfRule type="containsText" dxfId="95" priority="114" operator="containsText" text="Muy Baja">
      <formula>NOT(ISERROR(SEARCH("Muy Baja",N21)))</formula>
    </cfRule>
    <cfRule type="containsText" dxfId="94" priority="115" operator="containsText" text="Baja">
      <formula>NOT(ISERROR(SEARCH("Baja",N21)))</formula>
    </cfRule>
    <cfRule type="containsText" dxfId="93" priority="116" operator="containsText" text="Media">
      <formula>NOT(ISERROR(SEARCH("Media",N21)))</formula>
    </cfRule>
    <cfRule type="containsText" dxfId="92" priority="117" operator="containsText" text="Alta">
      <formula>NOT(ISERROR(SEARCH("Alta",N21)))</formula>
    </cfRule>
    <cfRule type="containsText" dxfId="91" priority="118" operator="containsText" text="Muy Alta">
      <formula>NOT(ISERROR(SEARCH("Muy Alta",N21)))</formula>
    </cfRule>
  </conditionalFormatting>
  <conditionalFormatting sqref="N24">
    <cfRule type="containsText" dxfId="90" priority="84" operator="containsText" text="Muy Baja">
      <formula>NOT(ISERROR(SEARCH("Muy Baja",N24)))</formula>
    </cfRule>
    <cfRule type="containsText" dxfId="89" priority="85" operator="containsText" text="Baja">
      <formula>NOT(ISERROR(SEARCH("Baja",N24)))</formula>
    </cfRule>
    <cfRule type="containsText" dxfId="88" priority="86" operator="containsText" text="Media">
      <formula>NOT(ISERROR(SEARCH("Media",N24)))</formula>
    </cfRule>
    <cfRule type="containsText" dxfId="87" priority="87" operator="containsText" text="Alta">
      <formula>NOT(ISERROR(SEARCH("Alta",N24)))</formula>
    </cfRule>
    <cfRule type="containsText" dxfId="86" priority="88" operator="containsText" text="Muy Alta">
      <formula>NOT(ISERROR(SEARCH("Muy Alta",N24)))</formula>
    </cfRule>
  </conditionalFormatting>
  <conditionalFormatting sqref="N27 N30 N33">
    <cfRule type="containsText" dxfId="85" priority="58" operator="containsText" text="Muy Baja">
      <formula>NOT(ISERROR(SEARCH("Muy Baja",N27)))</formula>
    </cfRule>
    <cfRule type="containsText" dxfId="84" priority="59" operator="containsText" text="Baja">
      <formula>NOT(ISERROR(SEARCH("Baja",N27)))</formula>
    </cfRule>
    <cfRule type="containsText" dxfId="83" priority="60" operator="containsText" text="Media">
      <formula>NOT(ISERROR(SEARCH("Media",N27)))</formula>
    </cfRule>
    <cfRule type="containsText" dxfId="82" priority="61" operator="containsText" text="Alta">
      <formula>NOT(ISERROR(SEARCH("Alta",N27)))</formula>
    </cfRule>
    <cfRule type="containsText" dxfId="81" priority="62" operator="containsText" text="Muy Alta">
      <formula>NOT(ISERROR(SEARCH("Muy Alta",N27)))</formula>
    </cfRule>
  </conditionalFormatting>
  <conditionalFormatting sqref="P15">
    <cfRule type="containsText" dxfId="80" priority="284" operator="containsText" text="Leve">
      <formula>NOT(ISERROR(SEARCH("Leve",P15)))</formula>
    </cfRule>
    <cfRule type="containsText" dxfId="79" priority="285" operator="containsText" text="Menor">
      <formula>NOT(ISERROR(SEARCH("Menor",P15)))</formula>
    </cfRule>
    <cfRule type="containsText" dxfId="78" priority="287" operator="containsText" text="Mayor">
      <formula>NOT(ISERROR(SEARCH("Mayor",P15)))</formula>
    </cfRule>
    <cfRule type="containsText" dxfId="77" priority="288" operator="containsText" text="Catastrófico">
      <formula>NOT(ISERROR(SEARCH("Catastrófico",P15)))</formula>
    </cfRule>
  </conditionalFormatting>
  <conditionalFormatting sqref="P18">
    <cfRule type="containsText" dxfId="76" priority="178" operator="containsText" text="Leve">
      <formula>NOT(ISERROR(SEARCH("Leve",P18)))</formula>
    </cfRule>
    <cfRule type="containsText" dxfId="75" priority="179" operator="containsText" text="Menor">
      <formula>NOT(ISERROR(SEARCH("Menor",P18)))</formula>
    </cfRule>
    <cfRule type="containsText" dxfId="74" priority="181" operator="containsText" text="Mayor">
      <formula>NOT(ISERROR(SEARCH("Mayor",P18)))</formula>
    </cfRule>
    <cfRule type="containsText" dxfId="73" priority="182" operator="containsText" text="Catastrófico">
      <formula>NOT(ISERROR(SEARCH("Catastrófico",P18)))</formula>
    </cfRule>
  </conditionalFormatting>
  <conditionalFormatting sqref="P21">
    <cfRule type="containsText" dxfId="72" priority="124" operator="containsText" text="Leve">
      <formula>NOT(ISERROR(SEARCH("Leve",P21)))</formula>
    </cfRule>
    <cfRule type="containsText" dxfId="71" priority="125" operator="containsText" text="Menor">
      <formula>NOT(ISERROR(SEARCH("Menor",P21)))</formula>
    </cfRule>
    <cfRule type="containsText" dxfId="70" priority="127" operator="containsText" text="Mayor">
      <formula>NOT(ISERROR(SEARCH("Mayor",P21)))</formula>
    </cfRule>
    <cfRule type="containsText" dxfId="69" priority="128" operator="containsText" text="Catastrófico">
      <formula>NOT(ISERROR(SEARCH("Catastrófico",P21)))</formula>
    </cfRule>
  </conditionalFormatting>
  <conditionalFormatting sqref="P24">
    <cfRule type="containsText" dxfId="68" priority="94" operator="containsText" text="Leve">
      <formula>NOT(ISERROR(SEARCH("Leve",P24)))</formula>
    </cfRule>
    <cfRule type="containsText" dxfId="67" priority="95" operator="containsText" text="Menor">
      <formula>NOT(ISERROR(SEARCH("Menor",P24)))</formula>
    </cfRule>
    <cfRule type="containsText" dxfId="66" priority="97" operator="containsText" text="Mayor">
      <formula>NOT(ISERROR(SEARCH("Mayor",P24)))</formula>
    </cfRule>
    <cfRule type="containsText" dxfId="65" priority="98" operator="containsText" text="Catastrófico">
      <formula>NOT(ISERROR(SEARCH("Catastrófico",P24)))</formula>
    </cfRule>
  </conditionalFormatting>
  <conditionalFormatting sqref="P27 P30 P33">
    <cfRule type="containsText" dxfId="64" priority="68" operator="containsText" text="Leve">
      <formula>NOT(ISERROR(SEARCH("Leve",P27)))</formula>
    </cfRule>
    <cfRule type="containsText" dxfId="63" priority="69" operator="containsText" text="Menor">
      <formula>NOT(ISERROR(SEARCH("Menor",P27)))</formula>
    </cfRule>
    <cfRule type="containsText" dxfId="62" priority="71" operator="containsText" text="Mayor">
      <formula>NOT(ISERROR(SEARCH("Mayor",P27)))</formula>
    </cfRule>
    <cfRule type="containsText" dxfId="61" priority="72" operator="containsText" text="Catastrófico">
      <formula>NOT(ISERROR(SEARCH("Catastrófico",P27)))</formula>
    </cfRule>
  </conditionalFormatting>
  <conditionalFormatting sqref="P15:Q15">
    <cfRule type="containsText" dxfId="60" priority="286" operator="containsText" text="Moderado">
      <formula>NOT(ISERROR(SEARCH("Moderado",P15)))</formula>
    </cfRule>
  </conditionalFormatting>
  <conditionalFormatting sqref="P18:Q18">
    <cfRule type="containsText" dxfId="59" priority="180" operator="containsText" text="Moderado">
      <formula>NOT(ISERROR(SEARCH("Moderado",P18)))</formula>
    </cfRule>
  </conditionalFormatting>
  <conditionalFormatting sqref="P21:Q21">
    <cfRule type="containsText" dxfId="58" priority="126" operator="containsText" text="Moderado">
      <formula>NOT(ISERROR(SEARCH("Moderado",P21)))</formula>
    </cfRule>
  </conditionalFormatting>
  <conditionalFormatting sqref="P24:Q24">
    <cfRule type="containsText" dxfId="57" priority="96" operator="containsText" text="Moderado">
      <formula>NOT(ISERROR(SEARCH("Moderado",P24)))</formula>
    </cfRule>
  </conditionalFormatting>
  <conditionalFormatting sqref="P27:Q27 P30:Q30 P33:Q33">
    <cfRule type="containsText" dxfId="56" priority="70" operator="containsText" text="Moderado">
      <formula>NOT(ISERROR(SEARCH("Moderado",P27)))</formula>
    </cfRule>
  </conditionalFormatting>
  <conditionalFormatting sqref="Q15">
    <cfRule type="containsText" dxfId="55" priority="293" operator="containsText" text="Bajo">
      <formula>NOT(ISERROR(SEARCH("Bajo",Q15)))</formula>
    </cfRule>
    <cfRule type="containsText" dxfId="54" priority="295" operator="containsText" text="Alto">
      <formula>NOT(ISERROR(SEARCH("Alto",Q15)))</formula>
    </cfRule>
    <cfRule type="containsText" dxfId="53" priority="296" operator="containsText" text="Extremo">
      <formula>NOT(ISERROR(SEARCH("Extremo",Q15)))</formula>
    </cfRule>
  </conditionalFormatting>
  <conditionalFormatting sqref="Q18">
    <cfRule type="containsText" dxfId="52" priority="183" operator="containsText" text="Bajo">
      <formula>NOT(ISERROR(SEARCH("Bajo",Q18)))</formula>
    </cfRule>
    <cfRule type="containsText" dxfId="51" priority="184" operator="containsText" text="Alto">
      <formula>NOT(ISERROR(SEARCH("Alto",Q18)))</formula>
    </cfRule>
    <cfRule type="containsText" dxfId="50" priority="185" operator="containsText" text="Extremo">
      <formula>NOT(ISERROR(SEARCH("Extremo",Q18)))</formula>
    </cfRule>
  </conditionalFormatting>
  <conditionalFormatting sqref="Q21">
    <cfRule type="containsText" dxfId="49" priority="129" operator="containsText" text="Bajo">
      <formula>NOT(ISERROR(SEARCH("Bajo",Q21)))</formula>
    </cfRule>
    <cfRule type="containsText" dxfId="48" priority="130" operator="containsText" text="Alto">
      <formula>NOT(ISERROR(SEARCH("Alto",Q21)))</formula>
    </cfRule>
    <cfRule type="containsText" dxfId="47" priority="131" operator="containsText" text="Extremo">
      <formula>NOT(ISERROR(SEARCH("Extremo",Q21)))</formula>
    </cfRule>
  </conditionalFormatting>
  <conditionalFormatting sqref="Q24">
    <cfRule type="containsText" dxfId="46" priority="99" operator="containsText" text="Bajo">
      <formula>NOT(ISERROR(SEARCH("Bajo",Q24)))</formula>
    </cfRule>
    <cfRule type="containsText" dxfId="45" priority="100" operator="containsText" text="Alto">
      <formula>NOT(ISERROR(SEARCH("Alto",Q24)))</formula>
    </cfRule>
    <cfRule type="containsText" dxfId="44" priority="101" operator="containsText" text="Extremo">
      <formula>NOT(ISERROR(SEARCH("Extremo",Q24)))</formula>
    </cfRule>
  </conditionalFormatting>
  <conditionalFormatting sqref="Q27 Q30 Q33">
    <cfRule type="containsText" dxfId="43" priority="73" operator="containsText" text="Bajo">
      <formula>NOT(ISERROR(SEARCH("Bajo",Q27)))</formula>
    </cfRule>
    <cfRule type="containsText" dxfId="42" priority="74" operator="containsText" text="Alto">
      <formula>NOT(ISERROR(SEARCH("Alto",Q27)))</formula>
    </cfRule>
    <cfRule type="containsText" dxfId="41" priority="75" operator="containsText" text="Extremo">
      <formula>NOT(ISERROR(SEARCH("Extremo",Q27)))</formula>
    </cfRule>
  </conditionalFormatting>
  <conditionalFormatting sqref="AM15 AN16:AN17">
    <cfRule type="containsText" dxfId="40" priority="269" operator="containsText" text="Muy Baja">
      <formula>NOT(ISERROR(SEARCH("Muy Baja",AM15)))</formula>
    </cfRule>
    <cfRule type="containsText" dxfId="39" priority="275" operator="containsText" text="Baja">
      <formula>NOT(ISERROR(SEARCH("Baja",AM15)))</formula>
    </cfRule>
    <cfRule type="containsText" dxfId="38" priority="276" operator="containsText" text="Media">
      <formula>NOT(ISERROR(SEARCH("Media",AM15)))</formula>
    </cfRule>
    <cfRule type="containsText" dxfId="37" priority="277" operator="containsText" text="Alta">
      <formula>NOT(ISERROR(SEARCH("Alta",AM15)))</formula>
    </cfRule>
    <cfRule type="containsText" dxfId="36" priority="278" operator="containsText" text="Muy Alta">
      <formula>NOT(ISERROR(SEARCH("Muy Alta",AM15)))</formula>
    </cfRule>
  </conditionalFormatting>
  <conditionalFormatting sqref="AM18 AN19">
    <cfRule type="containsText" dxfId="35" priority="173" operator="containsText" text="Muy Baja">
      <formula>NOT(ISERROR(SEARCH("Muy Baja",AM18)))</formula>
    </cfRule>
    <cfRule type="containsText" dxfId="34" priority="174" operator="containsText" text="Baja">
      <formula>NOT(ISERROR(SEARCH("Baja",AM18)))</formula>
    </cfRule>
    <cfRule type="containsText" dxfId="33" priority="175" operator="containsText" text="Media">
      <formula>NOT(ISERROR(SEARCH("Media",AM18)))</formula>
    </cfRule>
    <cfRule type="containsText" dxfId="32" priority="176" operator="containsText" text="Alta">
      <formula>NOT(ISERROR(SEARCH("Alta",AM18)))</formula>
    </cfRule>
    <cfRule type="containsText" dxfId="31" priority="177" operator="containsText" text="Muy Alta">
      <formula>NOT(ISERROR(SEARCH("Muy Alta",AM18)))</formula>
    </cfRule>
  </conditionalFormatting>
  <conditionalFormatting sqref="AM21 AN22:AN23">
    <cfRule type="containsText" dxfId="30" priority="119" operator="containsText" text="Muy Baja">
      <formula>NOT(ISERROR(SEARCH("Muy Baja",AM21)))</formula>
    </cfRule>
    <cfRule type="containsText" dxfId="29" priority="120" operator="containsText" text="Baja">
      <formula>NOT(ISERROR(SEARCH("Baja",AM21)))</formula>
    </cfRule>
    <cfRule type="containsText" dxfId="28" priority="121" operator="containsText" text="Media">
      <formula>NOT(ISERROR(SEARCH("Media",AM21)))</formula>
    </cfRule>
    <cfRule type="containsText" dxfId="27" priority="122" operator="containsText" text="Alta">
      <formula>NOT(ISERROR(SEARCH("Alta",AM21)))</formula>
    </cfRule>
    <cfRule type="containsText" dxfId="26" priority="123" operator="containsText" text="Muy Alta">
      <formula>NOT(ISERROR(SEARCH("Muy Alta",AM21)))</formula>
    </cfRule>
  </conditionalFormatting>
  <conditionalFormatting sqref="AM24 AN25:AN26">
    <cfRule type="containsText" dxfId="25" priority="89" operator="containsText" text="Muy Baja">
      <formula>NOT(ISERROR(SEARCH("Muy Baja",AM24)))</formula>
    </cfRule>
    <cfRule type="containsText" dxfId="24" priority="90" operator="containsText" text="Baja">
      <formula>NOT(ISERROR(SEARCH("Baja",AM24)))</formula>
    </cfRule>
    <cfRule type="containsText" dxfId="23" priority="91" operator="containsText" text="Media">
      <formula>NOT(ISERROR(SEARCH("Media",AM24)))</formula>
    </cfRule>
    <cfRule type="containsText" dxfId="22" priority="92" operator="containsText" text="Alta">
      <formula>NOT(ISERROR(SEARCH("Alta",AM24)))</formula>
    </cfRule>
    <cfRule type="containsText" dxfId="21" priority="93" operator="containsText" text="Muy Alta">
      <formula>NOT(ISERROR(SEARCH("Muy Alta",AM24)))</formula>
    </cfRule>
  </conditionalFormatting>
  <conditionalFormatting sqref="AM27 AN28:AN29 AM30 AN31:AN35 AM33">
    <cfRule type="containsText" dxfId="20" priority="63" operator="containsText" text="Muy Baja">
      <formula>NOT(ISERROR(SEARCH("Muy Baja",AM27)))</formula>
    </cfRule>
    <cfRule type="containsText" dxfId="19" priority="64" operator="containsText" text="Baja">
      <formula>NOT(ISERROR(SEARCH("Baja",AM27)))</formula>
    </cfRule>
    <cfRule type="containsText" dxfId="18" priority="65" operator="containsText" text="Media">
      <formula>NOT(ISERROR(SEARCH("Media",AM27)))</formula>
    </cfRule>
    <cfRule type="containsText" dxfId="17" priority="66" operator="containsText" text="Alta">
      <formula>NOT(ISERROR(SEARCH("Alta",AM27)))</formula>
    </cfRule>
    <cfRule type="containsText" dxfId="16" priority="67" operator="containsText" text="Muy Alta">
      <formula>NOT(ISERROR(SEARCH("Muy Alta",AM27)))</formula>
    </cfRule>
  </conditionalFormatting>
  <conditionalFormatting sqref="AP15">
    <cfRule type="containsText" dxfId="15" priority="240" operator="containsText" text="Leve">
      <formula>NOT(ISERROR(SEARCH("Leve",AP15)))</formula>
    </cfRule>
    <cfRule type="containsText" dxfId="14" priority="241" operator="containsText" text="Menor">
      <formula>NOT(ISERROR(SEARCH("Menor",AP15)))</formula>
    </cfRule>
    <cfRule type="containsText" dxfId="13" priority="243" operator="containsText" text="Mayor">
      <formula>NOT(ISERROR(SEARCH("Mayor",AP15)))</formula>
    </cfRule>
    <cfRule type="containsText" dxfId="12" priority="244" operator="containsText" text="Catastrófico">
      <formula>NOT(ISERROR(SEARCH("Catastrófico",AP15)))</formula>
    </cfRule>
  </conditionalFormatting>
  <conditionalFormatting sqref="AP18">
    <cfRule type="containsText" dxfId="11" priority="159" operator="containsText" text="Leve">
      <formula>NOT(ISERROR(SEARCH("Leve",AP18)))</formula>
    </cfRule>
    <cfRule type="containsText" dxfId="10" priority="160" operator="containsText" text="Menor">
      <formula>NOT(ISERROR(SEARCH("Menor",AP18)))</formula>
    </cfRule>
    <cfRule type="containsText" dxfId="9" priority="162" operator="containsText" text="Mayor">
      <formula>NOT(ISERROR(SEARCH("Mayor",AP18)))</formula>
    </cfRule>
    <cfRule type="containsText" dxfId="8" priority="163" operator="containsText" text="Catastrófico">
      <formula>NOT(ISERROR(SEARCH("Catastrófico",AP18)))</formula>
    </cfRule>
  </conditionalFormatting>
  <conditionalFormatting sqref="AP21 AP24 AP27 AP30 AP33">
    <cfRule type="containsText" dxfId="7" priority="105" operator="containsText" text="Leve">
      <formula>NOT(ISERROR(SEARCH("Leve",AP21)))</formula>
    </cfRule>
    <cfRule type="containsText" dxfId="6" priority="106" operator="containsText" text="Menor">
      <formula>NOT(ISERROR(SEARCH("Menor",AP21)))</formula>
    </cfRule>
    <cfRule type="containsText" dxfId="5" priority="108" operator="containsText" text="Mayor">
      <formula>NOT(ISERROR(SEARCH("Mayor",AP21)))</formula>
    </cfRule>
    <cfRule type="containsText" dxfId="4" priority="109" operator="containsText" text="Catastrófico">
      <formula>NOT(ISERROR(SEARCH("Catastrófico",AP21)))</formula>
    </cfRule>
  </conditionalFormatting>
  <conditionalFormatting sqref="AP15:AQ33">
    <cfRule type="containsText" dxfId="3" priority="107" operator="containsText" text="Moderado">
      <formula>NOT(ISERROR(SEARCH("Moderado",AP15)))</formula>
    </cfRule>
  </conditionalFormatting>
  <conditionalFormatting sqref="AQ15 AQ18 AQ21 AQ24 AQ27 AQ30 AQ33">
    <cfRule type="containsText" dxfId="2" priority="165" operator="containsText" text="Bajo">
      <formula>NOT(ISERROR(SEARCH("Bajo",AQ15)))</formula>
    </cfRule>
    <cfRule type="containsText" dxfId="1" priority="166" operator="containsText" text="Alto">
      <formula>NOT(ISERROR(SEARCH("Alto",AQ15)))</formula>
    </cfRule>
    <cfRule type="containsText" dxfId="0" priority="167" operator="containsText" text="Extremo">
      <formula>NOT(ISERROR(SEARCH("Extremo",AQ15)))</formula>
    </cfRule>
  </conditionalFormatting>
  <dataValidations count="17">
    <dataValidation type="list" allowBlank="1" showInputMessage="1" showErrorMessage="1" sqref="AE15:AE35" xr:uid="{00000000-0002-0000-0000-000000000000}">
      <formula1>"Documentado,Sin documentar"</formula1>
    </dataValidation>
    <dataValidation type="list" allowBlank="1" showInputMessage="1" showErrorMessage="1" sqref="AG15:AG35" xr:uid="{00000000-0002-0000-0000-000001000000}">
      <formula1>"Continua,Aleatoria"</formula1>
    </dataValidation>
    <dataValidation type="list" allowBlank="1" showInputMessage="1" showErrorMessage="1" sqref="AI15:AI35" xr:uid="{00000000-0002-0000-0000-000002000000}">
      <formula1>"Con registro,Sin registro"</formula1>
    </dataValidation>
    <dataValidation type="list" allowBlank="1" showInputMessage="1" showErrorMessage="1" sqref="AC15:AC35" xr:uid="{00000000-0002-0000-0000-000003000000}">
      <formula1>"Automático,Manual"</formula1>
    </dataValidation>
    <dataValidation type="list" allowBlank="1" showInputMessage="1" showErrorMessage="1" error="Seleccione un factor de riesgo" sqref="C15:C35" xr:uid="{00000000-0002-0000-0000-000004000000}">
      <formula1>"Procesos,Talento humano,Tecnología,Infraestructura,Evento externo"</formula1>
    </dataValidation>
    <dataValidation type="list" allowBlank="1" showInputMessage="1" showErrorMessage="1" error="Seleccione un area de impacto" sqref="D18:D35" xr:uid="{00000000-0002-0000-0000-000005000000}">
      <formula1>"afectación económica,afectación reputacional,afectación económica y reputacional"</formula1>
    </dataValidation>
    <dataValidation type="list" allowBlank="1" showInputMessage="1" showErrorMessage="1" error="Seleccione una clasificación del riesgo" sqref="J15:J35" xr:uid="{00000000-0002-0000-0000-000006000000}">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15:K35" xr:uid="{00000000-0002-0000-0000-000007000000}">
      <formula1>"Máximo 2 veces,Entre 3 a 24 veces,Entre 24 a 500 veces,Entre 500 a 5000 veces,Mas de 5000 veces"</formula1>
    </dataValidation>
    <dataValidation type="list" allowBlank="1" showInputMessage="1" showErrorMessage="1" error="Seleccione una afectación económica y/o reputacional" sqref="L15:L35" xr:uid="{00000000-0002-0000-0000-000008000000}">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35" xr:uid="{00000000-0002-0000-0000-000009000000}">
      <formula1>"Aceptar,Evitar,Compartir / Transferir,Reducir"</formula1>
    </dataValidation>
    <dataValidation type="list" allowBlank="1" showInputMessage="1" showErrorMessage="1" error="Seleccione si la posible afectación, cuenta con seguro o póliza" sqref="S15:S35" xr:uid="{00000000-0002-0000-0000-00000A000000}">
      <formula1>"Si,No"</formula1>
    </dataValidation>
    <dataValidation type="decimal" allowBlank="1" showInputMessage="1" showErrorMessage="1" error="Digite el porcentaje de la cobertura del seguro o póliza" sqref="T15:T29" xr:uid="{00000000-0002-0000-0000-00000B000000}">
      <formula1>0</formula1>
      <formula2>1</formula2>
    </dataValidation>
    <dataValidation type="list" allowBlank="1" showInputMessage="1" showErrorMessage="1" error="Seleccione el tipo de control" sqref="AA15:AA35" xr:uid="{00000000-0002-0000-0000-00000C000000}">
      <formula1>"Preventivo,Detectivo,Correctivo"</formula1>
    </dataValidation>
    <dataValidation type="list" allowBlank="1" showInputMessage="1" showErrorMessage="1" error="Seleccione el estado del plan de tratamiento" sqref="BC15:BC35" xr:uid="{00000000-0002-0000-0000-00000D000000}">
      <formula1>"En implementación,En ejecución,En seguimiento,Terminado"</formula1>
    </dataValidation>
    <dataValidation type="list" allowBlank="1" showInputMessage="1" showErrorMessage="1" error="Seleccione un tipo de riesgo" sqref="I18:I35" xr:uid="{00000000-0002-0000-0000-00000E000000}">
      <formula1>"Gestión,Corrupción,Seguridad de la Información,Ambiental,Laboral,Fiscal"</formula1>
    </dataValidation>
    <dataValidation type="list" allowBlank="1" showInputMessage="1" showErrorMessage="1" error="Seleccione un area de impacto" sqref="D15:D17" xr:uid="{00000000-0002-0000-0000-00000F000000}">
      <formula1>"afectación económica,afectación reputacional,afectación económica y reputacional,efecto dañoso"</formula1>
    </dataValidation>
    <dataValidation type="list" allowBlank="1" showInputMessage="1" showErrorMessage="1" error="Seleccione un tipo de riesgo" sqref="I15:I17" xr:uid="{00000000-0002-0000-0000-000010000000}">
      <formula1>"Gestión,Corrupción,Seguridad de la Información,Ambiental,Seguridad y Salud en el Trabajo,Fiscal"</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SARA LUCIA SLRB. RIVEROS BONILLA</cp:lastModifiedBy>
  <dcterms:created xsi:type="dcterms:W3CDTF">2023-04-12T21:27:57Z</dcterms:created>
  <dcterms:modified xsi:type="dcterms:W3CDTF">2025-03-11T16:20:00Z</dcterms:modified>
</cp:coreProperties>
</file>